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ojedav\Desktop\MIS EXCELS IMP\BASESPPD\BANNER WEB\LEGALES\SIMULADOR\"/>
    </mc:Choice>
  </mc:AlternateContent>
  <xr:revisionPtr revIDLastSave="0" documentId="13_ncr:1_{20E27338-D655-451F-918B-686BE1528A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imulador CUOTA" sheetId="1" r:id="rId1"/>
    <sheet name="Hoja1" sheetId="2" state="hidden" r:id="rId2"/>
    <sheet name="Calculo desgravamen" sheetId="3" state="hidden" r:id="rId3"/>
    <sheet name="Simulador CUOTA (2)" sheetId="4" state="hidden" r:id="rId4"/>
  </sheets>
  <definedNames>
    <definedName name="A" localSheetId="2" hidden="1">{#N/A,#N/A,TRUE,"EvalFin";#N/A,#N/A,TRUE,"EvalFin";#N/A,#N/A,TRUE,"EvalFin";#N/A,#N/A,TRUE,"EvalFin"}</definedName>
    <definedName name="A" localSheetId="0" hidden="1">{#N/A,#N/A,TRUE,"EvalFin";#N/A,#N/A,TRUE,"EvalFin";#N/A,#N/A,TRUE,"EvalFin";#N/A,#N/A,TRUE,"EvalFin"}</definedName>
    <definedName name="A" localSheetId="3" hidden="1">{#N/A,#N/A,TRUE,"EvalFin";#N/A,#N/A,TRUE,"EvalFin";#N/A,#N/A,TRUE,"EvalFin";#N/A,#N/A,TRUE,"EvalFin"}</definedName>
    <definedName name="A" hidden="1">{#N/A,#N/A,TRUE,"EvalFin";#N/A,#N/A,TRUE,"EvalFin";#N/A,#N/A,TRUE,"EvalFin";#N/A,#N/A,TRUE,"EvalFin"}</definedName>
    <definedName name="asaa" localSheetId="2" hidden="1">{#N/A,#N/A,TRUE,"EvalFin";#N/A,#N/A,TRUE,"EvalFin";#N/A,#N/A,TRUE,"EvalFin";#N/A,#N/A,TRUE,"EvalFin"}</definedName>
    <definedName name="asaa" localSheetId="0" hidden="1">{#N/A,#N/A,TRUE,"EvalFin";#N/A,#N/A,TRUE,"EvalFin";#N/A,#N/A,TRUE,"EvalFin";#N/A,#N/A,TRUE,"EvalFin"}</definedName>
    <definedName name="asaa" localSheetId="3" hidden="1">{#N/A,#N/A,TRUE,"EvalFin";#N/A,#N/A,TRUE,"EvalFin";#N/A,#N/A,TRUE,"EvalFin";#N/A,#N/A,TRUE,"EvalFin"}</definedName>
    <definedName name="asaa" hidden="1">{#N/A,#N/A,TRUE,"EvalFin";#N/A,#N/A,TRUE,"EvalFin";#N/A,#N/A,TRUE,"EvalFin";#N/A,#N/A,TRUE,"EvalFin"}</definedName>
    <definedName name="dsf" localSheetId="2" hidden="1">{#N/A,#N/A,TRUE,"EvalFin";#N/A,#N/A,TRUE,"EvalFin";#N/A,#N/A,TRUE,"EvalFin";#N/A,#N/A,TRUE,"EvalFin"}</definedName>
    <definedName name="dsf" localSheetId="0" hidden="1">{#N/A,#N/A,TRUE,"EvalFin";#N/A,#N/A,TRUE,"EvalFin";#N/A,#N/A,TRUE,"EvalFin";#N/A,#N/A,TRUE,"EvalFin"}</definedName>
    <definedName name="dsf" localSheetId="3" hidden="1">{#N/A,#N/A,TRUE,"EvalFin";#N/A,#N/A,TRUE,"EvalFin";#N/A,#N/A,TRUE,"EvalFin";#N/A,#N/A,TRUE,"EvalFin"}</definedName>
    <definedName name="dsf" hidden="1">{#N/A,#N/A,TRUE,"EvalFin";#N/A,#N/A,TRUE,"EvalFin";#N/A,#N/A,TRUE,"EvalFin";#N/A,#N/A,TRUE,"EvalFin"}</definedName>
    <definedName name="ee" localSheetId="2" hidden="1">{#N/A,#N/A,TRUE,"EvalFin";#N/A,#N/A,TRUE,"EvalFin";#N/A,#N/A,TRUE,"EvalFin";#N/A,#N/A,TRUE,"EvalFin"}</definedName>
    <definedName name="ee" localSheetId="0" hidden="1">{#N/A,#N/A,TRUE,"EvalFin";#N/A,#N/A,TRUE,"EvalFin";#N/A,#N/A,TRUE,"EvalFin";#N/A,#N/A,TRUE,"EvalFin"}</definedName>
    <definedName name="ee" localSheetId="3" hidden="1">{#N/A,#N/A,TRUE,"EvalFin";#N/A,#N/A,TRUE,"EvalFin";#N/A,#N/A,TRUE,"EvalFin";#N/A,#N/A,TRUE,"EvalFin"}</definedName>
    <definedName name="ee" hidden="1">{#N/A,#N/A,TRUE,"EvalFin";#N/A,#N/A,TRUE,"EvalFin";#N/A,#N/A,TRUE,"EvalFin";#N/A,#N/A,TRUE,"EvalFin"}</definedName>
    <definedName name="finall" localSheetId="2" hidden="1">{#N/A,#N/A,TRUE,"EvalFin";#N/A,#N/A,TRUE,"EvalFin";#N/A,#N/A,TRUE,"EvalFin";#N/A,#N/A,TRUE,"EvalFin"}</definedName>
    <definedName name="finall" localSheetId="0" hidden="1">{#N/A,#N/A,TRUE,"EvalFin";#N/A,#N/A,TRUE,"EvalFin";#N/A,#N/A,TRUE,"EvalFin";#N/A,#N/A,TRUE,"EvalFin"}</definedName>
    <definedName name="finall" localSheetId="3" hidden="1">{#N/A,#N/A,TRUE,"EvalFin";#N/A,#N/A,TRUE,"EvalFin";#N/A,#N/A,TRUE,"EvalFin";#N/A,#N/A,TRUE,"EvalFin"}</definedName>
    <definedName name="finall" hidden="1">{#N/A,#N/A,TRUE,"EvalFin";#N/A,#N/A,TRUE,"EvalFin";#N/A,#N/A,TRUE,"EvalFin";#N/A,#N/A,TRUE,"EvalFin"}</definedName>
    <definedName name="g" localSheetId="2" hidden="1">{#N/A,#N/A,TRUE,"EvalFin";#N/A,#N/A,TRUE,"EvalFin";#N/A,#N/A,TRUE,"EvalFin";#N/A,#N/A,TRUE,"EvalFin"}</definedName>
    <definedName name="g" localSheetId="0" hidden="1">{#N/A,#N/A,TRUE,"EvalFin";#N/A,#N/A,TRUE,"EvalFin";#N/A,#N/A,TRUE,"EvalFin";#N/A,#N/A,TRUE,"EvalFin"}</definedName>
    <definedName name="g" localSheetId="3" hidden="1">{#N/A,#N/A,TRUE,"EvalFin";#N/A,#N/A,TRUE,"EvalFin";#N/A,#N/A,TRUE,"EvalFin";#N/A,#N/A,TRUE,"EvalFin"}</definedName>
    <definedName name="g" hidden="1">{#N/A,#N/A,TRUE,"EvalFin";#N/A,#N/A,TRUE,"EvalFin";#N/A,#N/A,TRUE,"EvalFin";#N/A,#N/A,TRUE,"EvalFin"}</definedName>
    <definedName name="Proyección" localSheetId="2" hidden="1">{#N/A,#N/A,TRUE,"EvalFin";#N/A,#N/A,TRUE,"EvalFin";#N/A,#N/A,TRUE,"EvalFin";#N/A,#N/A,TRUE,"EvalFin"}</definedName>
    <definedName name="Proyección" localSheetId="0" hidden="1">{#N/A,#N/A,TRUE,"EvalFin";#N/A,#N/A,TRUE,"EvalFin";#N/A,#N/A,TRUE,"EvalFin";#N/A,#N/A,TRUE,"EvalFin"}</definedName>
    <definedName name="Proyección" localSheetId="3" hidden="1">{#N/A,#N/A,TRUE,"EvalFin";#N/A,#N/A,TRUE,"EvalFin";#N/A,#N/A,TRUE,"EvalFin";#N/A,#N/A,TRUE,"EvalFin"}</definedName>
    <definedName name="Proyección" hidden="1">{#N/A,#N/A,TRUE,"EvalFin";#N/A,#N/A,TRUE,"EvalFin";#N/A,#N/A,TRUE,"EvalFin";#N/A,#N/A,TRUE,"EvalFin"}</definedName>
    <definedName name="solver_adj" localSheetId="2" hidden="1">'Calculo desgravamen'!$C$15</definedName>
    <definedName name="solver_adj" localSheetId="0" hidden="1">'Simulador CUOTA'!$C$15</definedName>
    <definedName name="solver_adj" localSheetId="3" hidden="1">'Simulador CUOTA (2)'!$C$15</definedName>
    <definedName name="solver_cvg" localSheetId="2" hidden="1">0.0001</definedName>
    <definedName name="solver_cvg" localSheetId="0" hidden="1">0.0001</definedName>
    <definedName name="solver_cvg" localSheetId="3" hidden="1">0.0001</definedName>
    <definedName name="solver_drv" localSheetId="2" hidden="1">1</definedName>
    <definedName name="solver_drv" localSheetId="0" hidden="1">1</definedName>
    <definedName name="solver_drv" localSheetId="3" hidden="1">1</definedName>
    <definedName name="solver_est" localSheetId="2" hidden="1">1</definedName>
    <definedName name="solver_est" localSheetId="0" hidden="1">1</definedName>
    <definedName name="solver_est" localSheetId="3" hidden="1">1</definedName>
    <definedName name="solver_itr" localSheetId="2" hidden="1">100</definedName>
    <definedName name="solver_itr" localSheetId="0" hidden="1">100</definedName>
    <definedName name="solver_itr" localSheetId="3" hidden="1">100</definedName>
    <definedName name="solver_lin" localSheetId="2" hidden="1">2</definedName>
    <definedName name="solver_lin" localSheetId="0" hidden="1">2</definedName>
    <definedName name="solver_lin" localSheetId="3" hidden="1">2</definedName>
    <definedName name="solver_neg" localSheetId="2" hidden="1">2</definedName>
    <definedName name="solver_neg" localSheetId="0" hidden="1">2</definedName>
    <definedName name="solver_neg" localSheetId="3" hidden="1">2</definedName>
    <definedName name="solver_num" localSheetId="2" hidden="1">0</definedName>
    <definedName name="solver_num" localSheetId="0" hidden="1">0</definedName>
    <definedName name="solver_num" localSheetId="3" hidden="1">0</definedName>
    <definedName name="solver_nwt" localSheetId="2" hidden="1">1</definedName>
    <definedName name="solver_nwt" localSheetId="0" hidden="1">1</definedName>
    <definedName name="solver_nwt" localSheetId="3" hidden="1">1</definedName>
    <definedName name="solver_opt" localSheetId="2" hidden="1">'Calculo desgravamen'!#REF!</definedName>
    <definedName name="solver_opt" localSheetId="0" hidden="1">'Simulador CUOTA'!#REF!</definedName>
    <definedName name="solver_opt" localSheetId="3" hidden="1">'Simulador CUOTA (2)'!#REF!</definedName>
    <definedName name="solver_pre" localSheetId="2" hidden="1">0.000001</definedName>
    <definedName name="solver_pre" localSheetId="0" hidden="1">0.000001</definedName>
    <definedName name="solver_pre" localSheetId="3" hidden="1">0.000001</definedName>
    <definedName name="solver_scl" localSheetId="2" hidden="1">2</definedName>
    <definedName name="solver_scl" localSheetId="0" hidden="1">2</definedName>
    <definedName name="solver_scl" localSheetId="3" hidden="1">2</definedName>
    <definedName name="solver_sho" localSheetId="2" hidden="1">2</definedName>
    <definedName name="solver_sho" localSheetId="0" hidden="1">2</definedName>
    <definedName name="solver_sho" localSheetId="3" hidden="1">2</definedName>
    <definedName name="solver_tim" localSheetId="2" hidden="1">100</definedName>
    <definedName name="solver_tim" localSheetId="0" hidden="1">100</definedName>
    <definedName name="solver_tim" localSheetId="3" hidden="1">100</definedName>
    <definedName name="solver_tol" localSheetId="2" hidden="1">0.05</definedName>
    <definedName name="solver_tol" localSheetId="0" hidden="1">0.05</definedName>
    <definedName name="solver_tol" localSheetId="3" hidden="1">0.05</definedName>
    <definedName name="solver_typ" localSheetId="2" hidden="1">3</definedName>
    <definedName name="solver_typ" localSheetId="0" hidden="1">3</definedName>
    <definedName name="solver_typ" localSheetId="3" hidden="1">3</definedName>
    <definedName name="solver_val" localSheetId="2" hidden="1">0.0452</definedName>
    <definedName name="solver_val" localSheetId="0" hidden="1">0.0452</definedName>
    <definedName name="solver_val" localSheetId="3" hidden="1">0.0452</definedName>
    <definedName name="tumare" localSheetId="2" hidden="1">{#N/A,#N/A,TRUE,"EvalFin";#N/A,#N/A,TRUE,"EvalFin";#N/A,#N/A,TRUE,"EvalFin";#N/A,#N/A,TRUE,"EvalFin"}</definedName>
    <definedName name="tumare" localSheetId="0" hidden="1">{#N/A,#N/A,TRUE,"EvalFin";#N/A,#N/A,TRUE,"EvalFin";#N/A,#N/A,TRUE,"EvalFin";#N/A,#N/A,TRUE,"EvalFin"}</definedName>
    <definedName name="tumare" localSheetId="3" hidden="1">{#N/A,#N/A,TRUE,"EvalFin";#N/A,#N/A,TRUE,"EvalFin";#N/A,#N/A,TRUE,"EvalFin";#N/A,#N/A,TRUE,"EvalFin"}</definedName>
    <definedName name="tumare" hidden="1">{#N/A,#N/A,TRUE,"EvalFin";#N/A,#N/A,TRUE,"EvalFin";#N/A,#N/A,TRUE,"EvalFin";#N/A,#N/A,TRUE,"EvalFin"}</definedName>
    <definedName name="wrn.casca." localSheetId="2" hidden="1">{#N/A,#N/A,TRUE,"EvalFin";#N/A,#N/A,TRUE,"EvalFin";#N/A,#N/A,TRUE,"EvalFin";#N/A,#N/A,TRUE,"EvalFin"}</definedName>
    <definedName name="wrn.casca." localSheetId="0" hidden="1">{#N/A,#N/A,TRUE,"EvalFin";#N/A,#N/A,TRUE,"EvalFin";#N/A,#N/A,TRUE,"EvalFin";#N/A,#N/A,TRUE,"EvalFin"}</definedName>
    <definedName name="wrn.casca." localSheetId="3" hidden="1">{#N/A,#N/A,TRUE,"EvalFin";#N/A,#N/A,TRUE,"EvalFin";#N/A,#N/A,TRUE,"EvalFin";#N/A,#N/A,TRUE,"EvalFin"}</definedName>
    <definedName name="wrn.casca." hidden="1">{#N/A,#N/A,TRUE,"EvalFin";#N/A,#N/A,TRUE,"EvalFin";#N/A,#N/A,TRUE,"EvalFin";#N/A,#N/A,TRUE,"EvalFin"}</definedName>
    <definedName name="wrn.Factores." localSheetId="2" hidden="1">{#N/A,"30",FALSE,"Vencimientos";#N/A,"31",FALSE,"Vencimientos";#N/A,"32",FALSE,"Vencimientos";#N/A,"33",FALSE,"Vencimientos";#N/A,"34",FALSE,"Vencimientos";#N/A,"35",FALSE,"Vencimientos";#N/A,"36",FALSE,"Vencimientos";#N/A,"37",FALSE,"Vencimientos";#N/A,"38",FALSE,"Vencimientos";#N/A,"39",FALSE,"Vencimientos";#N/A,"40",FALSE,"Vencimientos";#N/A,"41",FALSE,"Vencimientos";#N/A,"42",FALSE,"Vencimientos";#N/A,"43",FALSE,"Vencimientos";#N/A,"44",FALSE,"Vencimientos";#N/A,"45",FALSE,"Vencimientos";#N/A,"46",FALSE,"Vencimientos";#N/A,"47",FALSE,"Vencimientos";#N/A,"48",FALSE,"Vencimientos";#N/A,"49",FALSE,"Vencimientos";#N/A,"50",FALSE,"Vencimientos";#N/A,"51",FALSE,"Vencimientos";#N/A,"52",FALSE,"Vencimientos";#N/A,"53",FALSE,"Vencimientos"}</definedName>
    <definedName name="wrn.Factores." localSheetId="0" hidden="1">{#N/A,"30",FALSE,"Vencimientos";#N/A,"31",FALSE,"Vencimientos";#N/A,"32",FALSE,"Vencimientos";#N/A,"33",FALSE,"Vencimientos";#N/A,"34",FALSE,"Vencimientos";#N/A,"35",FALSE,"Vencimientos";#N/A,"36",FALSE,"Vencimientos";#N/A,"37",FALSE,"Vencimientos";#N/A,"38",FALSE,"Vencimientos";#N/A,"39",FALSE,"Vencimientos";#N/A,"40",FALSE,"Vencimientos";#N/A,"41",FALSE,"Vencimientos";#N/A,"42",FALSE,"Vencimientos";#N/A,"43",FALSE,"Vencimientos";#N/A,"44",FALSE,"Vencimientos";#N/A,"45",FALSE,"Vencimientos";#N/A,"46",FALSE,"Vencimientos";#N/A,"47",FALSE,"Vencimientos";#N/A,"48",FALSE,"Vencimientos";#N/A,"49",FALSE,"Vencimientos";#N/A,"50",FALSE,"Vencimientos";#N/A,"51",FALSE,"Vencimientos";#N/A,"52",FALSE,"Vencimientos";#N/A,"53",FALSE,"Vencimientos"}</definedName>
    <definedName name="wrn.Factores." localSheetId="3" hidden="1">{#N/A,"30",FALSE,"Vencimientos";#N/A,"31",FALSE,"Vencimientos";#N/A,"32",FALSE,"Vencimientos";#N/A,"33",FALSE,"Vencimientos";#N/A,"34",FALSE,"Vencimientos";#N/A,"35",FALSE,"Vencimientos";#N/A,"36",FALSE,"Vencimientos";#N/A,"37",FALSE,"Vencimientos";#N/A,"38",FALSE,"Vencimientos";#N/A,"39",FALSE,"Vencimientos";#N/A,"40",FALSE,"Vencimientos";#N/A,"41",FALSE,"Vencimientos";#N/A,"42",FALSE,"Vencimientos";#N/A,"43",FALSE,"Vencimientos";#N/A,"44",FALSE,"Vencimientos";#N/A,"45",FALSE,"Vencimientos";#N/A,"46",FALSE,"Vencimientos";#N/A,"47",FALSE,"Vencimientos";#N/A,"48",FALSE,"Vencimientos";#N/A,"49",FALSE,"Vencimientos";#N/A,"50",FALSE,"Vencimientos";#N/A,"51",FALSE,"Vencimientos";#N/A,"52",FALSE,"Vencimientos";#N/A,"53",FALSE,"Vencimientos"}</definedName>
    <definedName name="wrn.Factores." hidden="1">{#N/A,"30",FALSE,"Vencimientos";#N/A,"31",FALSE,"Vencimientos";#N/A,"32",FALSE,"Vencimientos";#N/A,"33",FALSE,"Vencimientos";#N/A,"34",FALSE,"Vencimientos";#N/A,"35",FALSE,"Vencimientos";#N/A,"36",FALSE,"Vencimientos";#N/A,"37",FALSE,"Vencimientos";#N/A,"38",FALSE,"Vencimientos";#N/A,"39",FALSE,"Vencimientos";#N/A,"40",FALSE,"Vencimientos";#N/A,"41",FALSE,"Vencimientos";#N/A,"42",FALSE,"Vencimientos";#N/A,"43",FALSE,"Vencimientos";#N/A,"44",FALSE,"Vencimientos";#N/A,"45",FALSE,"Vencimientos";#N/A,"46",FALSE,"Vencimientos";#N/A,"47",FALSE,"Vencimientos";#N/A,"48",FALSE,"Vencimientos";#N/A,"49",FALSE,"Vencimientos";#N/A,"50",FALSE,"Vencimientos";#N/A,"51",FALSE,"Vencimientos";#N/A,"52",FALSE,"Vencimientos";#N/A,"53",FALSE,"Vencimiento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5" i="4" l="1"/>
  <c r="P84" i="4"/>
  <c r="Q84" i="4" s="1"/>
  <c r="K83" i="4"/>
  <c r="H83" i="4"/>
  <c r="P82" i="4"/>
  <c r="Q82" i="4" s="1"/>
  <c r="H79" i="4"/>
  <c r="C78" i="4"/>
  <c r="S78" i="4" s="1"/>
  <c r="H77" i="4"/>
  <c r="N74" i="4"/>
  <c r="K74" i="4"/>
  <c r="N72" i="4"/>
  <c r="M72" i="4"/>
  <c r="O16" i="4" a="1"/>
  <c r="O16" i="4" s="1"/>
  <c r="F16" i="4"/>
  <c r="C16" i="4"/>
  <c r="C13" i="4"/>
  <c r="O12" i="4"/>
  <c r="P12" i="4" s="1"/>
  <c r="F12" i="4"/>
  <c r="C12" i="4"/>
  <c r="H85" i="3"/>
  <c r="L82" i="3"/>
  <c r="E77" i="3"/>
  <c r="H74" i="3"/>
  <c r="F73" i="3"/>
  <c r="O71" i="3"/>
  <c r="M70" i="3"/>
  <c r="W68" i="3"/>
  <c r="Z68" i="3" s="1"/>
  <c r="W67" i="3"/>
  <c r="Z67" i="3" s="1"/>
  <c r="M66" i="3"/>
  <c r="N65" i="3"/>
  <c r="J64" i="3"/>
  <c r="N63" i="3"/>
  <c r="J62" i="3"/>
  <c r="M61" i="3"/>
  <c r="H60" i="3"/>
  <c r="L59" i="3"/>
  <c r="H58" i="3"/>
  <c r="L57" i="3"/>
  <c r="K56" i="3"/>
  <c r="D54" i="3"/>
  <c r="F53" i="3"/>
  <c r="N52" i="3"/>
  <c r="P51" i="3"/>
  <c r="Q51" i="3" s="1"/>
  <c r="C51" i="3"/>
  <c r="S51" i="3" s="1"/>
  <c r="K50" i="3"/>
  <c r="D50" i="3"/>
  <c r="P49" i="3"/>
  <c r="Q49" i="3" s="1"/>
  <c r="I49" i="3"/>
  <c r="N48" i="3"/>
  <c r="E48" i="3"/>
  <c r="C19" i="3"/>
  <c r="F17" i="3"/>
  <c r="K23" i="3" s="1"/>
  <c r="C17" i="3"/>
  <c r="C18" i="3" s="1"/>
  <c r="C16" i="3"/>
  <c r="F15" i="3"/>
  <c r="G13" i="3"/>
  <c r="Z12" i="3"/>
  <c r="P12" i="3"/>
  <c r="O12" i="3"/>
  <c r="F12" i="3"/>
  <c r="C12" i="3"/>
  <c r="X9" i="3"/>
  <c r="X11" i="3" s="1"/>
  <c r="Z1050" i="2"/>
  <c r="Z1049" i="2"/>
  <c r="Z1048" i="2"/>
  <c r="Z1047" i="2"/>
  <c r="Z1046" i="2"/>
  <c r="Z1045" i="2"/>
  <c r="Z1044" i="2"/>
  <c r="Z1043" i="2"/>
  <c r="Z1042" i="2"/>
  <c r="Z1041" i="2"/>
  <c r="Z1040" i="2"/>
  <c r="Z1039" i="2"/>
  <c r="Z1038" i="2"/>
  <c r="Z1037" i="2"/>
  <c r="Z1036" i="2"/>
  <c r="Z1035" i="2"/>
  <c r="Z1034" i="2"/>
  <c r="Z1033" i="2"/>
  <c r="Z1032" i="2"/>
  <c r="Z1031" i="2"/>
  <c r="Z1030" i="2"/>
  <c r="Z1029" i="2"/>
  <c r="Z1028" i="2"/>
  <c r="Z1027" i="2"/>
  <c r="Z1026" i="2"/>
  <c r="Z1025" i="2"/>
  <c r="Z1024" i="2"/>
  <c r="Z1023" i="2"/>
  <c r="Z1022" i="2"/>
  <c r="Z1021" i="2"/>
  <c r="Z1020" i="2"/>
  <c r="Z1019" i="2"/>
  <c r="Z1018" i="2"/>
  <c r="Z1017" i="2"/>
  <c r="Z1016" i="2"/>
  <c r="Z1015" i="2"/>
  <c r="Z1014" i="2"/>
  <c r="Z1013" i="2"/>
  <c r="Z1012" i="2"/>
  <c r="Z1011" i="2"/>
  <c r="Z1010" i="2"/>
  <c r="Z1009" i="2"/>
  <c r="Z1008" i="2"/>
  <c r="Z1007" i="2"/>
  <c r="Z1006" i="2"/>
  <c r="Z1005" i="2"/>
  <c r="Z1004" i="2"/>
  <c r="Z1003" i="2"/>
  <c r="Z1002" i="2"/>
  <c r="Z1001" i="2"/>
  <c r="Z1000" i="2"/>
  <c r="Z999" i="2"/>
  <c r="Z998" i="2"/>
  <c r="Z997" i="2"/>
  <c r="Z996" i="2"/>
  <c r="Z995" i="2"/>
  <c r="Z994" i="2"/>
  <c r="Z993" i="2"/>
  <c r="Z992" i="2"/>
  <c r="Z991" i="2"/>
  <c r="Z990" i="2"/>
  <c r="Z989" i="2"/>
  <c r="Z988" i="2"/>
  <c r="Z987" i="2"/>
  <c r="Z986" i="2"/>
  <c r="Z985" i="2"/>
  <c r="Z984" i="2"/>
  <c r="Z983" i="2"/>
  <c r="Z982" i="2"/>
  <c r="Z981" i="2"/>
  <c r="Z980" i="2"/>
  <c r="Z979" i="2"/>
  <c r="Z978" i="2"/>
  <c r="Z977" i="2"/>
  <c r="Z976" i="2"/>
  <c r="Z975" i="2"/>
  <c r="Z974" i="2"/>
  <c r="Z973" i="2"/>
  <c r="Z972" i="2"/>
  <c r="Z971" i="2"/>
  <c r="Z970" i="2"/>
  <c r="Z969" i="2"/>
  <c r="Z968" i="2"/>
  <c r="Z967" i="2"/>
  <c r="Z966" i="2"/>
  <c r="Z965" i="2"/>
  <c r="Z964" i="2"/>
  <c r="Z963" i="2"/>
  <c r="Z962" i="2"/>
  <c r="Z961" i="2"/>
  <c r="Z960" i="2"/>
  <c r="Z959" i="2"/>
  <c r="Z958" i="2"/>
  <c r="Z957" i="2"/>
  <c r="Z956" i="2"/>
  <c r="Z955" i="2"/>
  <c r="Z954" i="2"/>
  <c r="Z953" i="2"/>
  <c r="Z952" i="2"/>
  <c r="Z951" i="2"/>
  <c r="Z950" i="2"/>
  <c r="Z949" i="2"/>
  <c r="Z948" i="2"/>
  <c r="Z947" i="2"/>
  <c r="Z946" i="2"/>
  <c r="Z945" i="2"/>
  <c r="Z944" i="2"/>
  <c r="Z943" i="2"/>
  <c r="Z942" i="2"/>
  <c r="Z941" i="2"/>
  <c r="Z940" i="2"/>
  <c r="Z939" i="2"/>
  <c r="Z938" i="2"/>
  <c r="Z937" i="2"/>
  <c r="Z936" i="2"/>
  <c r="Z935" i="2"/>
  <c r="Z934" i="2"/>
  <c r="Z933" i="2"/>
  <c r="Z932" i="2"/>
  <c r="Z931" i="2"/>
  <c r="Z930" i="2"/>
  <c r="Z929" i="2"/>
  <c r="Z928" i="2"/>
  <c r="Z927" i="2"/>
  <c r="Z926" i="2"/>
  <c r="Z925" i="2"/>
  <c r="Z924" i="2"/>
  <c r="Z923" i="2"/>
  <c r="Z922" i="2"/>
  <c r="Z921" i="2"/>
  <c r="Z920" i="2"/>
  <c r="Z919" i="2"/>
  <c r="Z918" i="2"/>
  <c r="Z917" i="2"/>
  <c r="Z916" i="2"/>
  <c r="Z915" i="2"/>
  <c r="Z914" i="2"/>
  <c r="Z913" i="2"/>
  <c r="Z912" i="2"/>
  <c r="Z911" i="2"/>
  <c r="Z910" i="2"/>
  <c r="Z909" i="2"/>
  <c r="Z908" i="2"/>
  <c r="Z907" i="2"/>
  <c r="Z906" i="2"/>
  <c r="Z905" i="2"/>
  <c r="Z904" i="2"/>
  <c r="Z903" i="2"/>
  <c r="Z902" i="2"/>
  <c r="Z901" i="2"/>
  <c r="Z900" i="2"/>
  <c r="Z899" i="2"/>
  <c r="Z898" i="2"/>
  <c r="Z897" i="2"/>
  <c r="Z896" i="2"/>
  <c r="Z895" i="2"/>
  <c r="Z894" i="2"/>
  <c r="Z893" i="2"/>
  <c r="Z892" i="2"/>
  <c r="Z891" i="2"/>
  <c r="Z890" i="2"/>
  <c r="Z889" i="2"/>
  <c r="Z888" i="2"/>
  <c r="Z887" i="2"/>
  <c r="Z886" i="2"/>
  <c r="Z885" i="2"/>
  <c r="Z884" i="2"/>
  <c r="Z883" i="2"/>
  <c r="Z882" i="2"/>
  <c r="Z881" i="2"/>
  <c r="Z880" i="2"/>
  <c r="Z879" i="2"/>
  <c r="Z878" i="2"/>
  <c r="Z877" i="2"/>
  <c r="Z876" i="2"/>
  <c r="Z875" i="2"/>
  <c r="Z874" i="2"/>
  <c r="Z873" i="2"/>
  <c r="Z872" i="2"/>
  <c r="Z871" i="2"/>
  <c r="Z870" i="2"/>
  <c r="Z869" i="2"/>
  <c r="Z868" i="2"/>
  <c r="Z867" i="2"/>
  <c r="Z866" i="2"/>
  <c r="Z865" i="2"/>
  <c r="Z864" i="2"/>
  <c r="Z863" i="2"/>
  <c r="Z862" i="2"/>
  <c r="Z861" i="2"/>
  <c r="Z860" i="2"/>
  <c r="Z859" i="2"/>
  <c r="Z858" i="2"/>
  <c r="Z857" i="2"/>
  <c r="Z856" i="2"/>
  <c r="Z855" i="2"/>
  <c r="Z854" i="2"/>
  <c r="Z853" i="2"/>
  <c r="Z852" i="2"/>
  <c r="Z851" i="2"/>
  <c r="Z850" i="2"/>
  <c r="Z849" i="2"/>
  <c r="Z848" i="2"/>
  <c r="Z847" i="2"/>
  <c r="Z846" i="2"/>
  <c r="Z845" i="2"/>
  <c r="Z844" i="2"/>
  <c r="Z843" i="2"/>
  <c r="Z842" i="2"/>
  <c r="Z841" i="2"/>
  <c r="Z840" i="2"/>
  <c r="Z839" i="2"/>
  <c r="Z838" i="2"/>
  <c r="Z837" i="2"/>
  <c r="Z836" i="2"/>
  <c r="Z835" i="2"/>
  <c r="Z834" i="2"/>
  <c r="Z833" i="2"/>
  <c r="Z832" i="2"/>
  <c r="Z831" i="2"/>
  <c r="Z830" i="2"/>
  <c r="Z829" i="2"/>
  <c r="Z828" i="2"/>
  <c r="Z827" i="2"/>
  <c r="Z826" i="2"/>
  <c r="Z825" i="2"/>
  <c r="Z824" i="2"/>
  <c r="Z823" i="2"/>
  <c r="Z822" i="2"/>
  <c r="Z821" i="2"/>
  <c r="Z820" i="2"/>
  <c r="Z819" i="2"/>
  <c r="Z818" i="2"/>
  <c r="Z817" i="2"/>
  <c r="Z816" i="2"/>
  <c r="Z815" i="2"/>
  <c r="Z814" i="2"/>
  <c r="Z813" i="2"/>
  <c r="Z812" i="2"/>
  <c r="Z811" i="2"/>
  <c r="Z810" i="2"/>
  <c r="Z809" i="2"/>
  <c r="Z808" i="2"/>
  <c r="Z807" i="2"/>
  <c r="Z806" i="2"/>
  <c r="Z805" i="2"/>
  <c r="Z804" i="2"/>
  <c r="Z803" i="2"/>
  <c r="Z802" i="2"/>
  <c r="Z801" i="2"/>
  <c r="Z800" i="2"/>
  <c r="Z799" i="2"/>
  <c r="Z798" i="2"/>
  <c r="Z797" i="2"/>
  <c r="Z796" i="2"/>
  <c r="Z795" i="2"/>
  <c r="Z794" i="2"/>
  <c r="Z793" i="2"/>
  <c r="Z792" i="2"/>
  <c r="Z791" i="2"/>
  <c r="Z790" i="2"/>
  <c r="Z789" i="2"/>
  <c r="Z788" i="2"/>
  <c r="Z787" i="2"/>
  <c r="Z786" i="2"/>
  <c r="Z785" i="2"/>
  <c r="Z784" i="2"/>
  <c r="Z783" i="2"/>
  <c r="Z782" i="2"/>
  <c r="Z781" i="2"/>
  <c r="Z780" i="2"/>
  <c r="Z779" i="2"/>
  <c r="Z778" i="2"/>
  <c r="Z777" i="2"/>
  <c r="Z776" i="2"/>
  <c r="Z775" i="2"/>
  <c r="Z774" i="2"/>
  <c r="Z773" i="2"/>
  <c r="Z772" i="2"/>
  <c r="Z771" i="2"/>
  <c r="Z770" i="2"/>
  <c r="Z769" i="2"/>
  <c r="Z768" i="2"/>
  <c r="Z767" i="2"/>
  <c r="Z766" i="2"/>
  <c r="Z765" i="2"/>
  <c r="Z764" i="2"/>
  <c r="Z763" i="2"/>
  <c r="Z762" i="2"/>
  <c r="Z761" i="2"/>
  <c r="Z760" i="2"/>
  <c r="Z759" i="2"/>
  <c r="Z758" i="2"/>
  <c r="Z757" i="2"/>
  <c r="Z756" i="2"/>
  <c r="Z755" i="2"/>
  <c r="Z754" i="2"/>
  <c r="Z753" i="2"/>
  <c r="Z752" i="2"/>
  <c r="Z751" i="2"/>
  <c r="Z750" i="2"/>
  <c r="Z749" i="2"/>
  <c r="Z748" i="2"/>
  <c r="Z747" i="2"/>
  <c r="Z746" i="2"/>
  <c r="Z745" i="2"/>
  <c r="Z744" i="2"/>
  <c r="Z743" i="2"/>
  <c r="Z742" i="2"/>
  <c r="Z741" i="2"/>
  <c r="Z740" i="2"/>
  <c r="Z739" i="2"/>
  <c r="Z738" i="2"/>
  <c r="Z737" i="2"/>
  <c r="Z736" i="2"/>
  <c r="Z735" i="2"/>
  <c r="Z734" i="2"/>
  <c r="Z733" i="2"/>
  <c r="Z732" i="2"/>
  <c r="Z731" i="2"/>
  <c r="Z730" i="2"/>
  <c r="Z729" i="2"/>
  <c r="Z728" i="2"/>
  <c r="Z727" i="2"/>
  <c r="Z726" i="2"/>
  <c r="Z725" i="2"/>
  <c r="Z724" i="2"/>
  <c r="Z723" i="2"/>
  <c r="Z722" i="2"/>
  <c r="Z721" i="2"/>
  <c r="Z720" i="2"/>
  <c r="Z719" i="2"/>
  <c r="Z718" i="2"/>
  <c r="Z717" i="2"/>
  <c r="Z716" i="2"/>
  <c r="Z715" i="2"/>
  <c r="Z714" i="2"/>
  <c r="Z713" i="2"/>
  <c r="Z712" i="2"/>
  <c r="Z711" i="2"/>
  <c r="Z710" i="2"/>
  <c r="Z709" i="2"/>
  <c r="Z708" i="2"/>
  <c r="Z707" i="2"/>
  <c r="Z706" i="2"/>
  <c r="Z705" i="2"/>
  <c r="Z704" i="2"/>
  <c r="Z703" i="2"/>
  <c r="Z702" i="2"/>
  <c r="Z701" i="2"/>
  <c r="Z700" i="2"/>
  <c r="Z699" i="2"/>
  <c r="Z698" i="2"/>
  <c r="Z697" i="2"/>
  <c r="Z696" i="2"/>
  <c r="Z695" i="2"/>
  <c r="Z694" i="2"/>
  <c r="Z693" i="2"/>
  <c r="Z692" i="2"/>
  <c r="Z691" i="2"/>
  <c r="Z690" i="2"/>
  <c r="Z689" i="2"/>
  <c r="Z688" i="2"/>
  <c r="Z687" i="2"/>
  <c r="Z686" i="2"/>
  <c r="Z685" i="2"/>
  <c r="Z684" i="2"/>
  <c r="Z683" i="2"/>
  <c r="Z682" i="2"/>
  <c r="Z681" i="2"/>
  <c r="Z680" i="2"/>
  <c r="Z679" i="2"/>
  <c r="Z678" i="2"/>
  <c r="Z677" i="2"/>
  <c r="Z676" i="2"/>
  <c r="Z675" i="2"/>
  <c r="Z674" i="2"/>
  <c r="Z673" i="2"/>
  <c r="Z672" i="2"/>
  <c r="Z671" i="2"/>
  <c r="Z670" i="2"/>
  <c r="Z669" i="2"/>
  <c r="Z668" i="2"/>
  <c r="Z667" i="2"/>
  <c r="Z666" i="2"/>
  <c r="Z665" i="2"/>
  <c r="Z664" i="2"/>
  <c r="Z663" i="2"/>
  <c r="Z662" i="2"/>
  <c r="Z661" i="2"/>
  <c r="Z660" i="2"/>
  <c r="Z659" i="2"/>
  <c r="Z658" i="2"/>
  <c r="Z657" i="2"/>
  <c r="Z656" i="2"/>
  <c r="Z655" i="2"/>
  <c r="Z654" i="2"/>
  <c r="Z653" i="2"/>
  <c r="Z652" i="2"/>
  <c r="Z651" i="2"/>
  <c r="Z650" i="2"/>
  <c r="Z649" i="2"/>
  <c r="Z648" i="2"/>
  <c r="Z647" i="2"/>
  <c r="Z646" i="2"/>
  <c r="Z645" i="2"/>
  <c r="Z644" i="2"/>
  <c r="Z643" i="2"/>
  <c r="Z642" i="2"/>
  <c r="Z641" i="2"/>
  <c r="Z640" i="2"/>
  <c r="Z639" i="2"/>
  <c r="Z638" i="2"/>
  <c r="Z637" i="2"/>
  <c r="Z636" i="2"/>
  <c r="Z635" i="2"/>
  <c r="Z634" i="2"/>
  <c r="Z633" i="2"/>
  <c r="Z632" i="2"/>
  <c r="Z631" i="2"/>
  <c r="Z630" i="2"/>
  <c r="Z629" i="2"/>
  <c r="Z628" i="2"/>
  <c r="Z627" i="2"/>
  <c r="Z626" i="2"/>
  <c r="Z625" i="2"/>
  <c r="Z624" i="2"/>
  <c r="Z623" i="2"/>
  <c r="Z622" i="2"/>
  <c r="Z621" i="2"/>
  <c r="Z620" i="2"/>
  <c r="Z619" i="2"/>
  <c r="Z618" i="2"/>
  <c r="Z617" i="2"/>
  <c r="Z616" i="2"/>
  <c r="Z615" i="2"/>
  <c r="Z614" i="2"/>
  <c r="Z613" i="2"/>
  <c r="Z612" i="2"/>
  <c r="Z611" i="2"/>
  <c r="Z610" i="2"/>
  <c r="Z609" i="2"/>
  <c r="Z608" i="2"/>
  <c r="Z607" i="2"/>
  <c r="Z606" i="2"/>
  <c r="Z605" i="2"/>
  <c r="Z604" i="2"/>
  <c r="Z603" i="2"/>
  <c r="Z602" i="2"/>
  <c r="Z601" i="2"/>
  <c r="Z600" i="2"/>
  <c r="Z599" i="2"/>
  <c r="Z598" i="2"/>
  <c r="Z597" i="2"/>
  <c r="Z596" i="2"/>
  <c r="Z595" i="2"/>
  <c r="Z594" i="2"/>
  <c r="Z593" i="2"/>
  <c r="Z592" i="2"/>
  <c r="Z591" i="2"/>
  <c r="Z590" i="2"/>
  <c r="Z589" i="2"/>
  <c r="Z588" i="2"/>
  <c r="Z587" i="2"/>
  <c r="Z586" i="2"/>
  <c r="Z585" i="2"/>
  <c r="Z584" i="2"/>
  <c r="Z583" i="2"/>
  <c r="Z582" i="2"/>
  <c r="Z581" i="2"/>
  <c r="Z580" i="2"/>
  <c r="Z579" i="2"/>
  <c r="Z578" i="2"/>
  <c r="Z577" i="2"/>
  <c r="Z576" i="2"/>
  <c r="Z575" i="2"/>
  <c r="Z574" i="2"/>
  <c r="Z573" i="2"/>
  <c r="V573" i="2"/>
  <c r="Z572" i="2"/>
  <c r="V572" i="2"/>
  <c r="Z571" i="2"/>
  <c r="V571" i="2"/>
  <c r="Z570" i="2"/>
  <c r="V570" i="2"/>
  <c r="Z569" i="2"/>
  <c r="V569" i="2"/>
  <c r="Z568" i="2"/>
  <c r="V568" i="2"/>
  <c r="Z567" i="2"/>
  <c r="V567" i="2"/>
  <c r="Z566" i="2"/>
  <c r="V566" i="2"/>
  <c r="Z565" i="2"/>
  <c r="V565" i="2"/>
  <c r="Z564" i="2"/>
  <c r="V564" i="2"/>
  <c r="Z563" i="2"/>
  <c r="V563" i="2"/>
  <c r="Z562" i="2"/>
  <c r="V562" i="2"/>
  <c r="Z561" i="2"/>
  <c r="V561" i="2"/>
  <c r="Z560" i="2"/>
  <c r="V560" i="2"/>
  <c r="Z559" i="2"/>
  <c r="V559" i="2"/>
  <c r="Z558" i="2"/>
  <c r="V558" i="2"/>
  <c r="Z557" i="2"/>
  <c r="V557" i="2"/>
  <c r="Z556" i="2"/>
  <c r="V556" i="2"/>
  <c r="Z555" i="2"/>
  <c r="V555" i="2"/>
  <c r="Z554" i="2"/>
  <c r="V554" i="2"/>
  <c r="Z553" i="2"/>
  <c r="V553" i="2"/>
  <c r="Z552" i="2"/>
  <c r="V552" i="2"/>
  <c r="Z551" i="2"/>
  <c r="V551" i="2"/>
  <c r="Z550" i="2"/>
  <c r="V550" i="2"/>
  <c r="Z549" i="2"/>
  <c r="V549" i="2"/>
  <c r="Z548" i="2"/>
  <c r="V548" i="2"/>
  <c r="Z547" i="2"/>
  <c r="V547" i="2"/>
  <c r="Z546" i="2"/>
  <c r="V546" i="2"/>
  <c r="Z545" i="2"/>
  <c r="V545" i="2"/>
  <c r="Z544" i="2"/>
  <c r="V544" i="2"/>
  <c r="Z543" i="2"/>
  <c r="V543" i="2"/>
  <c r="Z542" i="2"/>
  <c r="V542" i="2"/>
  <c r="Z541" i="2"/>
  <c r="V541" i="2"/>
  <c r="Z540" i="2"/>
  <c r="V540" i="2"/>
  <c r="Z539" i="2"/>
  <c r="V539" i="2"/>
  <c r="Z538" i="2"/>
  <c r="V538" i="2"/>
  <c r="Z537" i="2"/>
  <c r="V537" i="2"/>
  <c r="Z536" i="2"/>
  <c r="V536" i="2"/>
  <c r="Z535" i="2"/>
  <c r="V535" i="2"/>
  <c r="Z534" i="2"/>
  <c r="V534" i="2"/>
  <c r="Z533" i="2"/>
  <c r="V533" i="2"/>
  <c r="Z532" i="2"/>
  <c r="V532" i="2"/>
  <c r="Z531" i="2"/>
  <c r="V531" i="2"/>
  <c r="Z530" i="2"/>
  <c r="V530" i="2"/>
  <c r="Z529" i="2"/>
  <c r="V529" i="2"/>
  <c r="Z528" i="2"/>
  <c r="V528" i="2"/>
  <c r="Z527" i="2"/>
  <c r="V527" i="2"/>
  <c r="Z526" i="2"/>
  <c r="V526" i="2"/>
  <c r="Z525" i="2"/>
  <c r="V525" i="2"/>
  <c r="Z524" i="2"/>
  <c r="V524" i="2"/>
  <c r="Z523" i="2"/>
  <c r="V523" i="2"/>
  <c r="Z522" i="2"/>
  <c r="V522" i="2"/>
  <c r="Z521" i="2"/>
  <c r="V521" i="2"/>
  <c r="Z520" i="2"/>
  <c r="V520" i="2"/>
  <c r="Z519" i="2"/>
  <c r="V519" i="2"/>
  <c r="Z518" i="2"/>
  <c r="V518" i="2"/>
  <c r="Z517" i="2"/>
  <c r="V517" i="2"/>
  <c r="Z516" i="2"/>
  <c r="V516" i="2"/>
  <c r="Z515" i="2"/>
  <c r="V515" i="2"/>
  <c r="Z514" i="2"/>
  <c r="V514" i="2"/>
  <c r="Z513" i="2"/>
  <c r="V513" i="2"/>
  <c r="Z512" i="2"/>
  <c r="V512" i="2"/>
  <c r="Z511" i="2"/>
  <c r="V511" i="2"/>
  <c r="Z510" i="2"/>
  <c r="V510" i="2"/>
  <c r="Z509" i="2"/>
  <c r="V509" i="2"/>
  <c r="Z508" i="2"/>
  <c r="V508" i="2"/>
  <c r="Z507" i="2"/>
  <c r="V507" i="2"/>
  <c r="Z506" i="2"/>
  <c r="V506" i="2"/>
  <c r="Z505" i="2"/>
  <c r="V505" i="2"/>
  <c r="Z504" i="2"/>
  <c r="V504" i="2"/>
  <c r="Z503" i="2"/>
  <c r="V503" i="2"/>
  <c r="Z502" i="2"/>
  <c r="V502" i="2"/>
  <c r="Z501" i="2"/>
  <c r="V501" i="2"/>
  <c r="Z500" i="2"/>
  <c r="V500" i="2"/>
  <c r="Z499" i="2"/>
  <c r="V499" i="2"/>
  <c r="Z498" i="2"/>
  <c r="V498" i="2"/>
  <c r="Z497" i="2"/>
  <c r="V497" i="2"/>
  <c r="Z496" i="2"/>
  <c r="V496" i="2"/>
  <c r="Z495" i="2"/>
  <c r="V495" i="2"/>
  <c r="Z494" i="2"/>
  <c r="V494" i="2"/>
  <c r="Z493" i="2"/>
  <c r="V493" i="2"/>
  <c r="Z492" i="2"/>
  <c r="V492" i="2"/>
  <c r="Z491" i="2"/>
  <c r="V491" i="2"/>
  <c r="Z490" i="2"/>
  <c r="V490" i="2"/>
  <c r="Z489" i="2"/>
  <c r="V489" i="2"/>
  <c r="Z488" i="2"/>
  <c r="V488" i="2"/>
  <c r="Z487" i="2"/>
  <c r="V487" i="2"/>
  <c r="Z486" i="2"/>
  <c r="V486" i="2"/>
  <c r="Z485" i="2"/>
  <c r="V485" i="2"/>
  <c r="Z484" i="2"/>
  <c r="V484" i="2"/>
  <c r="Z483" i="2"/>
  <c r="V483" i="2"/>
  <c r="Z482" i="2"/>
  <c r="V482" i="2"/>
  <c r="Z481" i="2"/>
  <c r="V481" i="2"/>
  <c r="Z480" i="2"/>
  <c r="V480" i="2"/>
  <c r="Z479" i="2"/>
  <c r="V479" i="2"/>
  <c r="Z478" i="2"/>
  <c r="V478" i="2"/>
  <c r="Z477" i="2"/>
  <c r="V477" i="2"/>
  <c r="Z476" i="2"/>
  <c r="V476" i="2"/>
  <c r="Z475" i="2"/>
  <c r="V475" i="2"/>
  <c r="Z474" i="2"/>
  <c r="V474" i="2"/>
  <c r="Z473" i="2"/>
  <c r="V473" i="2"/>
  <c r="Z472" i="2"/>
  <c r="V472" i="2"/>
  <c r="Z471" i="2"/>
  <c r="V471" i="2"/>
  <c r="Z470" i="2"/>
  <c r="V470" i="2"/>
  <c r="Z469" i="2"/>
  <c r="V469" i="2"/>
  <c r="Z468" i="2"/>
  <c r="V468" i="2"/>
  <c r="Z467" i="2"/>
  <c r="V467" i="2"/>
  <c r="Z466" i="2"/>
  <c r="V466" i="2"/>
  <c r="Z465" i="2"/>
  <c r="V465" i="2"/>
  <c r="Z464" i="2"/>
  <c r="V464" i="2"/>
  <c r="Z463" i="2"/>
  <c r="V463" i="2"/>
  <c r="Z462" i="2"/>
  <c r="V462" i="2"/>
  <c r="Z461" i="2"/>
  <c r="V461" i="2"/>
  <c r="Z460" i="2"/>
  <c r="V460" i="2"/>
  <c r="Z459" i="2"/>
  <c r="V459" i="2"/>
  <c r="Z458" i="2"/>
  <c r="V458" i="2"/>
  <c r="Z457" i="2"/>
  <c r="V457" i="2"/>
  <c r="Z456" i="2"/>
  <c r="V456" i="2"/>
  <c r="Z455" i="2"/>
  <c r="V455" i="2"/>
  <c r="Z454" i="2"/>
  <c r="V454" i="2"/>
  <c r="Z453" i="2"/>
  <c r="V453" i="2"/>
  <c r="Z452" i="2"/>
  <c r="V452" i="2"/>
  <c r="Z451" i="2"/>
  <c r="V451" i="2"/>
  <c r="Z450" i="2"/>
  <c r="V450" i="2"/>
  <c r="Z449" i="2"/>
  <c r="V449" i="2"/>
  <c r="Z448" i="2"/>
  <c r="V448" i="2"/>
  <c r="Z447" i="2"/>
  <c r="V447" i="2"/>
  <c r="Z446" i="2"/>
  <c r="V446" i="2"/>
  <c r="Z445" i="2"/>
  <c r="V445" i="2"/>
  <c r="Z444" i="2"/>
  <c r="V444" i="2"/>
  <c r="Z443" i="2"/>
  <c r="V443" i="2"/>
  <c r="Z442" i="2"/>
  <c r="V442" i="2"/>
  <c r="Z441" i="2"/>
  <c r="V441" i="2"/>
  <c r="Z440" i="2"/>
  <c r="V440" i="2"/>
  <c r="Z439" i="2"/>
  <c r="V439" i="2"/>
  <c r="Z438" i="2"/>
  <c r="V438" i="2"/>
  <c r="Z437" i="2"/>
  <c r="V437" i="2"/>
  <c r="Z436" i="2"/>
  <c r="V436" i="2"/>
  <c r="Z435" i="2"/>
  <c r="V435" i="2"/>
  <c r="Z434" i="2"/>
  <c r="V434" i="2"/>
  <c r="Z433" i="2"/>
  <c r="V433" i="2"/>
  <c r="Z432" i="2"/>
  <c r="V432" i="2"/>
  <c r="Z431" i="2"/>
  <c r="V431" i="2"/>
  <c r="Z430" i="2"/>
  <c r="V430" i="2"/>
  <c r="Z429" i="2"/>
  <c r="V429" i="2"/>
  <c r="Z428" i="2"/>
  <c r="V428" i="2"/>
  <c r="Z427" i="2"/>
  <c r="V427" i="2"/>
  <c r="Z426" i="2"/>
  <c r="V426" i="2"/>
  <c r="Z425" i="2"/>
  <c r="V425" i="2"/>
  <c r="Z424" i="2"/>
  <c r="V424" i="2"/>
  <c r="Z423" i="2"/>
  <c r="V423" i="2"/>
  <c r="Z422" i="2"/>
  <c r="V422" i="2"/>
  <c r="Z421" i="2"/>
  <c r="V421" i="2"/>
  <c r="Z420" i="2"/>
  <c r="V420" i="2"/>
  <c r="Z419" i="2"/>
  <c r="V419" i="2"/>
  <c r="Z418" i="2"/>
  <c r="V418" i="2"/>
  <c r="Z417" i="2"/>
  <c r="V417" i="2"/>
  <c r="Z416" i="2"/>
  <c r="V416" i="2"/>
  <c r="Z415" i="2"/>
  <c r="V415" i="2"/>
  <c r="Z414" i="2"/>
  <c r="V414" i="2"/>
  <c r="Z413" i="2"/>
  <c r="V413" i="2"/>
  <c r="Z412" i="2"/>
  <c r="V412" i="2"/>
  <c r="Z411" i="2"/>
  <c r="V411" i="2"/>
  <c r="Z410" i="2"/>
  <c r="V410" i="2"/>
  <c r="Z409" i="2"/>
  <c r="V409" i="2"/>
  <c r="Z408" i="2"/>
  <c r="V408" i="2"/>
  <c r="Z407" i="2"/>
  <c r="V407" i="2"/>
  <c r="Z406" i="2"/>
  <c r="V406" i="2"/>
  <c r="Z405" i="2"/>
  <c r="V405" i="2"/>
  <c r="Z404" i="2"/>
  <c r="V404" i="2"/>
  <c r="Z403" i="2"/>
  <c r="V403" i="2"/>
  <c r="Z402" i="2"/>
  <c r="V402" i="2"/>
  <c r="Z401" i="2"/>
  <c r="V401" i="2"/>
  <c r="Z400" i="2"/>
  <c r="V400" i="2"/>
  <c r="Z399" i="2"/>
  <c r="V399" i="2"/>
  <c r="Z398" i="2"/>
  <c r="V398" i="2"/>
  <c r="Z397" i="2"/>
  <c r="V397" i="2"/>
  <c r="Z396" i="2"/>
  <c r="V396" i="2"/>
  <c r="Z395" i="2"/>
  <c r="V395" i="2"/>
  <c r="Z394" i="2"/>
  <c r="V394" i="2"/>
  <c r="Z393" i="2"/>
  <c r="V393" i="2"/>
  <c r="Z392" i="2"/>
  <c r="V392" i="2"/>
  <c r="Z391" i="2"/>
  <c r="V391" i="2"/>
  <c r="Z390" i="2"/>
  <c r="V390" i="2"/>
  <c r="Z389" i="2"/>
  <c r="V389" i="2"/>
  <c r="Z388" i="2"/>
  <c r="V388" i="2"/>
  <c r="Z387" i="2"/>
  <c r="V387" i="2"/>
  <c r="Z386" i="2"/>
  <c r="V386" i="2"/>
  <c r="Z385" i="2"/>
  <c r="V385" i="2"/>
  <c r="Z384" i="2"/>
  <c r="V384" i="2"/>
  <c r="Z383" i="2"/>
  <c r="V383" i="2"/>
  <c r="Z382" i="2"/>
  <c r="V382" i="2"/>
  <c r="Z381" i="2"/>
  <c r="V381" i="2"/>
  <c r="Z380" i="2"/>
  <c r="V380" i="2"/>
  <c r="Z379" i="2"/>
  <c r="V379" i="2"/>
  <c r="Z378" i="2"/>
  <c r="V378" i="2"/>
  <c r="Z377" i="2"/>
  <c r="V377" i="2"/>
  <c r="Z376" i="2"/>
  <c r="V376" i="2"/>
  <c r="Z375" i="2"/>
  <c r="V375" i="2"/>
  <c r="Z374" i="2"/>
  <c r="V374" i="2"/>
  <c r="Z373" i="2"/>
  <c r="V373" i="2"/>
  <c r="Z372" i="2"/>
  <c r="V372" i="2"/>
  <c r="Z371" i="2"/>
  <c r="V371" i="2"/>
  <c r="Z370" i="2"/>
  <c r="V370" i="2"/>
  <c r="Z369" i="2"/>
  <c r="V369" i="2"/>
  <c r="Z368" i="2"/>
  <c r="V368" i="2"/>
  <c r="Z367" i="2"/>
  <c r="V367" i="2"/>
  <c r="Z366" i="2"/>
  <c r="V366" i="2"/>
  <c r="Z365" i="2"/>
  <c r="V365" i="2"/>
  <c r="Z364" i="2"/>
  <c r="V364" i="2"/>
  <c r="Z363" i="2"/>
  <c r="V363" i="2"/>
  <c r="Z362" i="2"/>
  <c r="V362" i="2"/>
  <c r="Z361" i="2"/>
  <c r="V361" i="2"/>
  <c r="Z360" i="2"/>
  <c r="V360" i="2"/>
  <c r="Z359" i="2"/>
  <c r="V359" i="2"/>
  <c r="Z358" i="2"/>
  <c r="V358" i="2"/>
  <c r="Z357" i="2"/>
  <c r="V357" i="2"/>
  <c r="Z356" i="2"/>
  <c r="V356" i="2"/>
  <c r="Z355" i="2"/>
  <c r="V355" i="2"/>
  <c r="Z354" i="2"/>
  <c r="V354" i="2"/>
  <c r="Z353" i="2"/>
  <c r="V353" i="2"/>
  <c r="Z352" i="2"/>
  <c r="V352" i="2"/>
  <c r="Z351" i="2"/>
  <c r="V351" i="2"/>
  <c r="Z350" i="2"/>
  <c r="V350" i="2"/>
  <c r="Z349" i="2"/>
  <c r="V349" i="2"/>
  <c r="Z348" i="2"/>
  <c r="V348" i="2"/>
  <c r="Z347" i="2"/>
  <c r="V347" i="2"/>
  <c r="Z346" i="2"/>
  <c r="V346" i="2"/>
  <c r="Z345" i="2"/>
  <c r="V345" i="2"/>
  <c r="Z344" i="2"/>
  <c r="V344" i="2"/>
  <c r="Z343" i="2"/>
  <c r="V343" i="2"/>
  <c r="Z342" i="2"/>
  <c r="V342" i="2"/>
  <c r="Z341" i="2"/>
  <c r="V341" i="2"/>
  <c r="Z340" i="2"/>
  <c r="V340" i="2"/>
  <c r="Z339" i="2"/>
  <c r="V339" i="2"/>
  <c r="Z338" i="2"/>
  <c r="V338" i="2"/>
  <c r="Z337" i="2"/>
  <c r="V337" i="2"/>
  <c r="Z336" i="2"/>
  <c r="V336" i="2"/>
  <c r="Z335" i="2"/>
  <c r="V335" i="2"/>
  <c r="Z334" i="2"/>
  <c r="V334" i="2"/>
  <c r="Z333" i="2"/>
  <c r="V333" i="2"/>
  <c r="Z332" i="2"/>
  <c r="V332" i="2"/>
  <c r="Z331" i="2"/>
  <c r="V331" i="2"/>
  <c r="Z330" i="2"/>
  <c r="V330" i="2"/>
  <c r="Z329" i="2"/>
  <c r="V329" i="2"/>
  <c r="Z328" i="2"/>
  <c r="V328" i="2"/>
  <c r="Z327" i="2"/>
  <c r="V327" i="2"/>
  <c r="Z326" i="2"/>
  <c r="V326" i="2"/>
  <c r="Z325" i="2"/>
  <c r="V325" i="2"/>
  <c r="Z324" i="2"/>
  <c r="V324" i="2"/>
  <c r="Z323" i="2"/>
  <c r="V323" i="2"/>
  <c r="Z322" i="2"/>
  <c r="V322" i="2"/>
  <c r="Z321" i="2"/>
  <c r="V321" i="2"/>
  <c r="Z320" i="2"/>
  <c r="V320" i="2"/>
  <c r="Z319" i="2"/>
  <c r="V319" i="2"/>
  <c r="Z318" i="2"/>
  <c r="V318" i="2"/>
  <c r="Z317" i="2"/>
  <c r="V317" i="2"/>
  <c r="Z316" i="2"/>
  <c r="V316" i="2"/>
  <c r="Z315" i="2"/>
  <c r="V315" i="2"/>
  <c r="Z314" i="2"/>
  <c r="V314" i="2"/>
  <c r="Z313" i="2"/>
  <c r="V313" i="2"/>
  <c r="Z312" i="2"/>
  <c r="V312" i="2"/>
  <c r="Z311" i="2"/>
  <c r="V311" i="2"/>
  <c r="Z310" i="2"/>
  <c r="V310" i="2"/>
  <c r="Z309" i="2"/>
  <c r="V309" i="2"/>
  <c r="Z308" i="2"/>
  <c r="V308" i="2"/>
  <c r="Z307" i="2"/>
  <c r="V307" i="2"/>
  <c r="Z306" i="2"/>
  <c r="V306" i="2"/>
  <c r="Z305" i="2"/>
  <c r="V305" i="2"/>
  <c r="Z304" i="2"/>
  <c r="V304" i="2"/>
  <c r="Z303" i="2"/>
  <c r="V303" i="2"/>
  <c r="Z302" i="2"/>
  <c r="V302" i="2"/>
  <c r="Z301" i="2"/>
  <c r="V301" i="2"/>
  <c r="Z300" i="2"/>
  <c r="V300" i="2"/>
  <c r="Z299" i="2"/>
  <c r="V299" i="2"/>
  <c r="Z298" i="2"/>
  <c r="V298" i="2"/>
  <c r="Z297" i="2"/>
  <c r="V297" i="2"/>
  <c r="Z296" i="2"/>
  <c r="V296" i="2"/>
  <c r="Z295" i="2"/>
  <c r="V295" i="2"/>
  <c r="Z294" i="2"/>
  <c r="V294" i="2"/>
  <c r="Z293" i="2"/>
  <c r="V293" i="2"/>
  <c r="Z292" i="2"/>
  <c r="V292" i="2"/>
  <c r="Z291" i="2"/>
  <c r="V291" i="2"/>
  <c r="Z290" i="2"/>
  <c r="V290" i="2"/>
  <c r="Z289" i="2"/>
  <c r="V289" i="2"/>
  <c r="Z288" i="2"/>
  <c r="V288" i="2"/>
  <c r="Z287" i="2"/>
  <c r="V287" i="2"/>
  <c r="Z286" i="2"/>
  <c r="V286" i="2"/>
  <c r="Z285" i="2"/>
  <c r="V285" i="2"/>
  <c r="Z284" i="2"/>
  <c r="V284" i="2"/>
  <c r="Z283" i="2"/>
  <c r="V283" i="2"/>
  <c r="Z282" i="2"/>
  <c r="V282" i="2"/>
  <c r="Z281" i="2"/>
  <c r="V281" i="2"/>
  <c r="Z280" i="2"/>
  <c r="V280" i="2"/>
  <c r="Z279" i="2"/>
  <c r="V279" i="2"/>
  <c r="Z278" i="2"/>
  <c r="V278" i="2"/>
  <c r="Z277" i="2"/>
  <c r="V277" i="2"/>
  <c r="Z276" i="2"/>
  <c r="V276" i="2"/>
  <c r="Z275" i="2"/>
  <c r="V275" i="2"/>
  <c r="Z274" i="2"/>
  <c r="V274" i="2"/>
  <c r="Z273" i="2"/>
  <c r="V273" i="2"/>
  <c r="Z272" i="2"/>
  <c r="V272" i="2"/>
  <c r="Z271" i="2"/>
  <c r="V271" i="2"/>
  <c r="Z270" i="2"/>
  <c r="V270" i="2"/>
  <c r="Z269" i="2"/>
  <c r="V269" i="2"/>
  <c r="Z268" i="2"/>
  <c r="V268" i="2"/>
  <c r="Z267" i="2"/>
  <c r="V267" i="2"/>
  <c r="Z266" i="2"/>
  <c r="V266" i="2"/>
  <c r="Z265" i="2"/>
  <c r="V265" i="2"/>
  <c r="Z264" i="2"/>
  <c r="V264" i="2"/>
  <c r="Z263" i="2"/>
  <c r="V263" i="2"/>
  <c r="Z262" i="2"/>
  <c r="V262" i="2"/>
  <c r="Z261" i="2"/>
  <c r="V261" i="2"/>
  <c r="Z260" i="2"/>
  <c r="V260" i="2"/>
  <c r="Z259" i="2"/>
  <c r="V259" i="2"/>
  <c r="Z258" i="2"/>
  <c r="V258" i="2"/>
  <c r="Z257" i="2"/>
  <c r="V257" i="2"/>
  <c r="Z256" i="2"/>
  <c r="V256" i="2"/>
  <c r="Z255" i="2"/>
  <c r="V255" i="2"/>
  <c r="Z254" i="2"/>
  <c r="V254" i="2"/>
  <c r="Z253" i="2"/>
  <c r="V253" i="2"/>
  <c r="Z252" i="2"/>
  <c r="V252" i="2"/>
  <c r="Z251" i="2"/>
  <c r="V251" i="2"/>
  <c r="Z250" i="2"/>
  <c r="V250" i="2"/>
  <c r="Z249" i="2"/>
  <c r="V249" i="2"/>
  <c r="Z248" i="2"/>
  <c r="V248" i="2"/>
  <c r="Z247" i="2"/>
  <c r="V247" i="2"/>
  <c r="Z246" i="2"/>
  <c r="V246" i="2"/>
  <c r="Z245" i="2"/>
  <c r="V245" i="2"/>
  <c r="Z244" i="2"/>
  <c r="V244" i="2"/>
  <c r="Z243" i="2"/>
  <c r="V243" i="2"/>
  <c r="Z242" i="2"/>
  <c r="V242" i="2"/>
  <c r="Z241" i="2"/>
  <c r="V241" i="2"/>
  <c r="Z240" i="2"/>
  <c r="V240" i="2"/>
  <c r="Z239" i="2"/>
  <c r="V239" i="2"/>
  <c r="Z238" i="2"/>
  <c r="V238" i="2"/>
  <c r="Z237" i="2"/>
  <c r="V237" i="2"/>
  <c r="Z236" i="2"/>
  <c r="V236" i="2"/>
  <c r="Z235" i="2"/>
  <c r="V235" i="2"/>
  <c r="Z234" i="2"/>
  <c r="V234" i="2"/>
  <c r="Z233" i="2"/>
  <c r="V233" i="2"/>
  <c r="Z232" i="2"/>
  <c r="V232" i="2"/>
  <c r="Z231" i="2"/>
  <c r="V231" i="2"/>
  <c r="Z230" i="2"/>
  <c r="V230" i="2"/>
  <c r="Z229" i="2"/>
  <c r="V229" i="2"/>
  <c r="Z228" i="2"/>
  <c r="V228" i="2"/>
  <c r="Z227" i="2"/>
  <c r="V227" i="2"/>
  <c r="Z226" i="2"/>
  <c r="V226" i="2"/>
  <c r="Z225" i="2"/>
  <c r="V225" i="2"/>
  <c r="Z224" i="2"/>
  <c r="V224" i="2"/>
  <c r="Z223" i="2"/>
  <c r="V223" i="2"/>
  <c r="Z222" i="2"/>
  <c r="V222" i="2"/>
  <c r="Z221" i="2"/>
  <c r="V221" i="2"/>
  <c r="Z220" i="2"/>
  <c r="V220" i="2"/>
  <c r="Z219" i="2"/>
  <c r="V219" i="2"/>
  <c r="Z218" i="2"/>
  <c r="V218" i="2"/>
  <c r="V217" i="2"/>
  <c r="V216" i="2"/>
  <c r="V215" i="2"/>
  <c r="V214" i="2"/>
  <c r="V213" i="2"/>
  <c r="V212" i="2"/>
  <c r="V211" i="2"/>
  <c r="V210" i="2"/>
  <c r="V209" i="2"/>
  <c r="V208" i="2"/>
  <c r="V207" i="2"/>
  <c r="V206" i="2"/>
  <c r="V205" i="2"/>
  <c r="V204" i="2"/>
  <c r="V203" i="2"/>
  <c r="V202" i="2"/>
  <c r="V201" i="2"/>
  <c r="V200" i="2"/>
  <c r="V199" i="2"/>
  <c r="V198" i="2"/>
  <c r="V197" i="2"/>
  <c r="V196" i="2"/>
  <c r="V195" i="2"/>
  <c r="V194" i="2"/>
  <c r="V193" i="2"/>
  <c r="V192" i="2"/>
  <c r="V191" i="2"/>
  <c r="V190" i="2"/>
  <c r="V189" i="2"/>
  <c r="V188" i="2"/>
  <c r="V187" i="2"/>
  <c r="V186" i="2"/>
  <c r="V185" i="2"/>
  <c r="V184" i="2"/>
  <c r="V183" i="2"/>
  <c r="V182" i="2"/>
  <c r="V181" i="2"/>
  <c r="V180" i="2"/>
  <c r="V179" i="2"/>
  <c r="V178" i="2"/>
  <c r="V177" i="2"/>
  <c r="V176" i="2"/>
  <c r="V175" i="2"/>
  <c r="V174" i="2"/>
  <c r="V173" i="2"/>
  <c r="V172" i="2"/>
  <c r="V171" i="2"/>
  <c r="V170" i="2"/>
  <c r="V169" i="2"/>
  <c r="V168" i="2"/>
  <c r="V167" i="2"/>
  <c r="V166" i="2"/>
  <c r="V165" i="2"/>
  <c r="V164" i="2"/>
  <c r="V163" i="2"/>
  <c r="V162" i="2"/>
  <c r="V161" i="2"/>
  <c r="V160" i="2"/>
  <c r="V159" i="2"/>
  <c r="V158" i="2"/>
  <c r="V157" i="2"/>
  <c r="V156" i="2"/>
  <c r="V155" i="2"/>
  <c r="V154" i="2"/>
  <c r="V153" i="2"/>
  <c r="V152" i="2"/>
  <c r="V151" i="2"/>
  <c r="V150" i="2"/>
  <c r="V149" i="2"/>
  <c r="V148" i="2"/>
  <c r="V147" i="2"/>
  <c r="V146" i="2"/>
  <c r="V145" i="2"/>
  <c r="V144" i="2"/>
  <c r="V143" i="2"/>
  <c r="V142" i="2"/>
  <c r="V141" i="2"/>
  <c r="V140" i="2"/>
  <c r="V139" i="2"/>
  <c r="V138" i="2"/>
  <c r="V137" i="2"/>
  <c r="V136" i="2"/>
  <c r="V135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C14" i="2"/>
  <c r="V13" i="2"/>
  <c r="C13" i="2"/>
  <c r="V12" i="2"/>
  <c r="C12" i="2"/>
  <c r="V11" i="2"/>
  <c r="C11" i="2"/>
  <c r="V10" i="2"/>
  <c r="C10" i="2"/>
  <c r="V9" i="2"/>
  <c r="C9" i="2"/>
  <c r="V8" i="2"/>
  <c r="C8" i="2"/>
  <c r="V7" i="2"/>
  <c r="C7" i="2"/>
  <c r="V6" i="2"/>
  <c r="C6" i="2"/>
  <c r="V5" i="2"/>
  <c r="C5" i="2"/>
  <c r="V4" i="2"/>
  <c r="C4" i="2"/>
  <c r="V3" i="2"/>
  <c r="C3" i="2"/>
  <c r="V2" i="2"/>
  <c r="C2" i="2"/>
  <c r="Y75" i="1"/>
  <c r="T73" i="1"/>
  <c r="S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AC72" i="1"/>
  <c r="AB72" i="1"/>
  <c r="V72" i="1"/>
  <c r="V73" i="1" s="1"/>
  <c r="U72" i="1"/>
  <c r="U73" i="1" s="1"/>
  <c r="T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S72" i="1" s="1"/>
  <c r="K23" i="1"/>
  <c r="AC18" i="1"/>
  <c r="O18" i="4" s="1"/>
  <c r="O19" i="4" s="1"/>
  <c r="C18" i="1"/>
  <c r="F4" i="2" s="1"/>
  <c r="F17" i="1"/>
  <c r="F17" i="4" s="1"/>
  <c r="K23" i="4" s="1"/>
  <c r="Z16" i="1"/>
  <c r="Z13" i="1"/>
  <c r="F13" i="1"/>
  <c r="E13" i="1"/>
  <c r="C13" i="1"/>
  <c r="C13" i="3" s="1"/>
  <c r="P12" i="1"/>
  <c r="H9" i="2" s="1"/>
  <c r="C11" i="1"/>
  <c r="F1" i="2" s="1"/>
  <c r="F2" i="2" l="1"/>
  <c r="F3" i="2"/>
  <c r="H8" i="2"/>
  <c r="O11" i="4"/>
  <c r="O11" i="3"/>
  <c r="F13" i="4"/>
  <c r="G13" i="4" s="1"/>
  <c r="G13" i="1"/>
  <c r="L85" i="3"/>
  <c r="M85" i="3"/>
  <c r="D85" i="3"/>
  <c r="I84" i="3"/>
  <c r="W83" i="3"/>
  <c r="Z83" i="3" s="1"/>
  <c r="N83" i="3"/>
  <c r="F83" i="3"/>
  <c r="K82" i="3"/>
  <c r="C82" i="3"/>
  <c r="S82" i="3" s="1"/>
  <c r="P81" i="3"/>
  <c r="Q81" i="3" s="1"/>
  <c r="H81" i="3"/>
  <c r="M80" i="3"/>
  <c r="E80" i="3"/>
  <c r="J79" i="3"/>
  <c r="O78" i="3"/>
  <c r="G78" i="3"/>
  <c r="L77" i="3"/>
  <c r="D77" i="3"/>
  <c r="I76" i="3"/>
  <c r="W75" i="3"/>
  <c r="Z75" i="3" s="1"/>
  <c r="N75" i="3"/>
  <c r="F75" i="3"/>
  <c r="K74" i="3"/>
  <c r="C74" i="3"/>
  <c r="S74" i="3" s="1"/>
  <c r="P73" i="3"/>
  <c r="Q73" i="3" s="1"/>
  <c r="H73" i="3"/>
  <c r="M72" i="3"/>
  <c r="E72" i="3"/>
  <c r="J71" i="3"/>
  <c r="O70" i="3"/>
  <c r="G70" i="3"/>
  <c r="L69" i="3"/>
  <c r="D69" i="3"/>
  <c r="K85" i="3"/>
  <c r="C85" i="3"/>
  <c r="S85" i="3" s="1"/>
  <c r="P84" i="3"/>
  <c r="Q84" i="3" s="1"/>
  <c r="H84" i="3"/>
  <c r="W84" i="3" s="1"/>
  <c r="Z84" i="3" s="1"/>
  <c r="M83" i="3"/>
  <c r="E83" i="3"/>
  <c r="J82" i="3"/>
  <c r="O81" i="3"/>
  <c r="G81" i="3"/>
  <c r="L80" i="3"/>
  <c r="D80" i="3"/>
  <c r="I79" i="3"/>
  <c r="W78" i="3"/>
  <c r="Z78" i="3" s="1"/>
  <c r="N78" i="3"/>
  <c r="F78" i="3"/>
  <c r="K77" i="3"/>
  <c r="C77" i="3"/>
  <c r="S77" i="3" s="1"/>
  <c r="P76" i="3"/>
  <c r="Q76" i="3" s="1"/>
  <c r="H76" i="3"/>
  <c r="M75" i="3"/>
  <c r="E75" i="3"/>
  <c r="J74" i="3"/>
  <c r="O73" i="3"/>
  <c r="G73" i="3"/>
  <c r="L72" i="3"/>
  <c r="D72" i="3"/>
  <c r="I71" i="3"/>
  <c r="W70" i="3"/>
  <c r="Z70" i="3" s="1"/>
  <c r="N70" i="3"/>
  <c r="F70" i="3"/>
  <c r="K69" i="3"/>
  <c r="C69" i="3"/>
  <c r="S69" i="3" s="1"/>
  <c r="P68" i="3"/>
  <c r="Q68" i="3" s="1"/>
  <c r="H68" i="3"/>
  <c r="M67" i="3"/>
  <c r="E67" i="3"/>
  <c r="J66" i="3"/>
  <c r="O65" i="3"/>
  <c r="F85" i="3"/>
  <c r="O84" i="3"/>
  <c r="E84" i="3"/>
  <c r="P83" i="3"/>
  <c r="Q83" i="3" s="1"/>
  <c r="D83" i="3"/>
  <c r="O82" i="3"/>
  <c r="E82" i="3"/>
  <c r="N81" i="3"/>
  <c r="D81" i="3"/>
  <c r="O80" i="3"/>
  <c r="C80" i="3"/>
  <c r="S80" i="3" s="1"/>
  <c r="N79" i="3"/>
  <c r="D79" i="3"/>
  <c r="M78" i="3"/>
  <c r="C78" i="3"/>
  <c r="S78" i="3" s="1"/>
  <c r="N77" i="3"/>
  <c r="M76" i="3"/>
  <c r="C76" i="3"/>
  <c r="S76" i="3" s="1"/>
  <c r="L75" i="3"/>
  <c r="M74" i="3"/>
  <c r="W73" i="3"/>
  <c r="Z73" i="3" s="1"/>
  <c r="L73" i="3"/>
  <c r="K72" i="3"/>
  <c r="W71" i="3"/>
  <c r="Z71" i="3" s="1"/>
  <c r="L71" i="3"/>
  <c r="K70" i="3"/>
  <c r="W69" i="3"/>
  <c r="Z69" i="3" s="1"/>
  <c r="J69" i="3"/>
  <c r="K68" i="3"/>
  <c r="N67" i="3"/>
  <c r="D67" i="3"/>
  <c r="P66" i="3"/>
  <c r="Q66" i="3" s="1"/>
  <c r="G66" i="3"/>
  <c r="J65" i="3"/>
  <c r="O64" i="3"/>
  <c r="G64" i="3"/>
  <c r="L63" i="3"/>
  <c r="D63" i="3"/>
  <c r="I62" i="3"/>
  <c r="W61" i="3"/>
  <c r="Z61" i="3" s="1"/>
  <c r="N61" i="3"/>
  <c r="F61" i="3"/>
  <c r="K60" i="3"/>
  <c r="C60" i="3"/>
  <c r="S60" i="3" s="1"/>
  <c r="P59" i="3"/>
  <c r="Q59" i="3" s="1"/>
  <c r="H59" i="3"/>
  <c r="M58" i="3"/>
  <c r="E58" i="3"/>
  <c r="J57" i="3"/>
  <c r="O56" i="3"/>
  <c r="G56" i="3"/>
  <c r="L55" i="3"/>
  <c r="D55" i="3"/>
  <c r="O85" i="3"/>
  <c r="M84" i="3"/>
  <c r="C84" i="3"/>
  <c r="S84" i="3" s="1"/>
  <c r="L83" i="3"/>
  <c r="M82" i="3"/>
  <c r="W81" i="3"/>
  <c r="Z81" i="3" s="1"/>
  <c r="L81" i="3"/>
  <c r="K80" i="3"/>
  <c r="W79" i="3"/>
  <c r="Z79" i="3" s="1"/>
  <c r="L79" i="3"/>
  <c r="K78" i="3"/>
  <c r="W77" i="3"/>
  <c r="Z77" i="3" s="1"/>
  <c r="J77" i="3"/>
  <c r="K76" i="3"/>
  <c r="J75" i="3"/>
  <c r="I74" i="3"/>
  <c r="J73" i="3"/>
  <c r="I72" i="3"/>
  <c r="H71" i="3"/>
  <c r="I70" i="3"/>
  <c r="H69" i="3"/>
  <c r="I68" i="3"/>
  <c r="K67" i="3"/>
  <c r="N66" i="3"/>
  <c r="E66" i="3"/>
  <c r="H65" i="3"/>
  <c r="M64" i="3"/>
  <c r="E64" i="3"/>
  <c r="J63" i="3"/>
  <c r="O62" i="3"/>
  <c r="G62" i="3"/>
  <c r="L61" i="3"/>
  <c r="D61" i="3"/>
  <c r="I60" i="3"/>
  <c r="W59" i="3"/>
  <c r="Z59" i="3" s="1"/>
  <c r="N59" i="3"/>
  <c r="F59" i="3"/>
  <c r="K58" i="3"/>
  <c r="C58" i="3"/>
  <c r="S58" i="3" s="1"/>
  <c r="P57" i="3"/>
  <c r="Q57" i="3" s="1"/>
  <c r="N85" i="3"/>
  <c r="G84" i="3"/>
  <c r="O83" i="3"/>
  <c r="G82" i="3"/>
  <c r="M81" i="3"/>
  <c r="G80" i="3"/>
  <c r="M79" i="3"/>
  <c r="E78" i="3"/>
  <c r="M77" i="3"/>
  <c r="E76" i="3"/>
  <c r="K75" i="3"/>
  <c r="E74" i="3"/>
  <c r="K73" i="3"/>
  <c r="C72" i="3"/>
  <c r="S72" i="3" s="1"/>
  <c r="K71" i="3"/>
  <c r="C70" i="3"/>
  <c r="S70" i="3" s="1"/>
  <c r="I69" i="3"/>
  <c r="O68" i="3"/>
  <c r="D68" i="3"/>
  <c r="L67" i="3"/>
  <c r="I66" i="3"/>
  <c r="F65" i="3"/>
  <c r="F64" i="3"/>
  <c r="P63" i="3"/>
  <c r="Q63" i="3" s="1"/>
  <c r="F63" i="3"/>
  <c r="P62" i="3"/>
  <c r="Q62" i="3" s="1"/>
  <c r="E62" i="3"/>
  <c r="P61" i="3"/>
  <c r="Q61" i="3" s="1"/>
  <c r="E61" i="3"/>
  <c r="O60" i="3"/>
  <c r="E60" i="3"/>
  <c r="O59" i="3"/>
  <c r="D59" i="3"/>
  <c r="O58" i="3"/>
  <c r="D58" i="3"/>
  <c r="N57" i="3"/>
  <c r="E57" i="3"/>
  <c r="H56" i="3"/>
  <c r="J55" i="3"/>
  <c r="W54" i="3"/>
  <c r="Z54" i="3" s="1"/>
  <c r="N54" i="3"/>
  <c r="F54" i="3"/>
  <c r="K53" i="3"/>
  <c r="C53" i="3"/>
  <c r="S53" i="3" s="1"/>
  <c r="P52" i="3"/>
  <c r="Q52" i="3" s="1"/>
  <c r="H52" i="3"/>
  <c r="M51" i="3"/>
  <c r="E51" i="3"/>
  <c r="J50" i="3"/>
  <c r="O49" i="3"/>
  <c r="G49" i="3"/>
  <c r="L48" i="3"/>
  <c r="D48" i="3"/>
  <c r="F84" i="3"/>
  <c r="K83" i="3"/>
  <c r="F82" i="3"/>
  <c r="K81" i="3"/>
  <c r="F80" i="3"/>
  <c r="K79" i="3"/>
  <c r="D78" i="3"/>
  <c r="I77" i="3"/>
  <c r="D76" i="3"/>
  <c r="I75" i="3"/>
  <c r="P74" i="3"/>
  <c r="Q74" i="3" s="1"/>
  <c r="D74" i="3"/>
  <c r="I73" i="3"/>
  <c r="P72" i="3"/>
  <c r="Q72" i="3" s="1"/>
  <c r="G71" i="3"/>
  <c r="P70" i="3"/>
  <c r="Q70" i="3" s="1"/>
  <c r="G69" i="3"/>
  <c r="N68" i="3"/>
  <c r="C68" i="3"/>
  <c r="S68" i="3" s="1"/>
  <c r="J67" i="3"/>
  <c r="H66" i="3"/>
  <c r="P65" i="3"/>
  <c r="Q65" i="3" s="1"/>
  <c r="E65" i="3"/>
  <c r="P64" i="3"/>
  <c r="Q64" i="3" s="1"/>
  <c r="D64" i="3"/>
  <c r="O63" i="3"/>
  <c r="E63" i="3"/>
  <c r="N62" i="3"/>
  <c r="D62" i="3"/>
  <c r="O61" i="3"/>
  <c r="C61" i="3"/>
  <c r="S61" i="3" s="1"/>
  <c r="N60" i="3"/>
  <c r="D60" i="3"/>
  <c r="M59" i="3"/>
  <c r="C59" i="3"/>
  <c r="S59" i="3" s="1"/>
  <c r="N58" i="3"/>
  <c r="M57" i="3"/>
  <c r="D57" i="3"/>
  <c r="P56" i="3"/>
  <c r="Q56" i="3" s="1"/>
  <c r="F56" i="3"/>
  <c r="I55" i="3"/>
  <c r="M54" i="3"/>
  <c r="E54" i="3"/>
  <c r="J53" i="3"/>
  <c r="O52" i="3"/>
  <c r="G52" i="3"/>
  <c r="L51" i="3"/>
  <c r="D51" i="3"/>
  <c r="I50" i="3"/>
  <c r="W49" i="3"/>
  <c r="Z49" i="3" s="1"/>
  <c r="N49" i="3"/>
  <c r="F49" i="3"/>
  <c r="K48" i="3"/>
  <c r="C48" i="3"/>
  <c r="S48" i="3" s="1"/>
  <c r="J85" i="3"/>
  <c r="I83" i="3"/>
  <c r="P82" i="3"/>
  <c r="Q82" i="3" s="1"/>
  <c r="I81" i="3"/>
  <c r="P80" i="3"/>
  <c r="Q80" i="3" s="1"/>
  <c r="G79" i="3"/>
  <c r="P78" i="3"/>
  <c r="Q78" i="3" s="1"/>
  <c r="G77" i="3"/>
  <c r="N76" i="3"/>
  <c r="G75" i="3"/>
  <c r="N74" i="3"/>
  <c r="E73" i="3"/>
  <c r="N72" i="3"/>
  <c r="E71" i="3"/>
  <c r="L70" i="3"/>
  <c r="E69" i="3"/>
  <c r="L68" i="3"/>
  <c r="H67" i="3"/>
  <c r="D66" i="3"/>
  <c r="M65" i="3"/>
  <c r="C65" i="3"/>
  <c r="S65" i="3" s="1"/>
  <c r="L64" i="3"/>
  <c r="M63" i="3"/>
  <c r="W62" i="3"/>
  <c r="Z62" i="3" s="1"/>
  <c r="L62" i="3"/>
  <c r="K61" i="3"/>
  <c r="W60" i="3"/>
  <c r="Z60" i="3" s="1"/>
  <c r="L60" i="3"/>
  <c r="K59" i="3"/>
  <c r="W58" i="3"/>
  <c r="Z58" i="3" s="1"/>
  <c r="J58" i="3"/>
  <c r="K57" i="3"/>
  <c r="W56" i="3"/>
  <c r="Z56" i="3" s="1"/>
  <c r="M56" i="3"/>
  <c r="D56" i="3"/>
  <c r="P55" i="3"/>
  <c r="Q55" i="3" s="1"/>
  <c r="G55" i="3"/>
  <c r="K54" i="3"/>
  <c r="C54" i="3"/>
  <c r="S54" i="3" s="1"/>
  <c r="P53" i="3"/>
  <c r="Q53" i="3" s="1"/>
  <c r="H53" i="3"/>
  <c r="M52" i="3"/>
  <c r="E52" i="3"/>
  <c r="J51" i="3"/>
  <c r="O50" i="3"/>
  <c r="G50" i="3"/>
  <c r="L49" i="3"/>
  <c r="D49" i="3"/>
  <c r="I48" i="3"/>
  <c r="I85" i="3"/>
  <c r="N84" i="3"/>
  <c r="H83" i="3"/>
  <c r="N82" i="3"/>
  <c r="F81" i="3"/>
  <c r="N80" i="3"/>
  <c r="F79" i="3"/>
  <c r="L78" i="3"/>
  <c r="F77" i="3"/>
  <c r="L76" i="3"/>
  <c r="D75" i="3"/>
  <c r="L74" i="3"/>
  <c r="D73" i="3"/>
  <c r="J72" i="3"/>
  <c r="P71" i="3"/>
  <c r="Q71" i="3" s="1"/>
  <c r="D71" i="3"/>
  <c r="J70" i="3"/>
  <c r="P69" i="3"/>
  <c r="Q69" i="3" s="1"/>
  <c r="J68" i="3"/>
  <c r="G67" i="3"/>
  <c r="O66" i="3"/>
  <c r="C66" i="3"/>
  <c r="S66" i="3" s="1"/>
  <c r="L65" i="3"/>
  <c r="W64" i="3"/>
  <c r="Z64" i="3" s="1"/>
  <c r="K64" i="3"/>
  <c r="W63" i="3"/>
  <c r="Z63" i="3" s="1"/>
  <c r="K63" i="3"/>
  <c r="K62" i="3"/>
  <c r="J61" i="3"/>
  <c r="J60" i="3"/>
  <c r="J59" i="3"/>
  <c r="I58" i="3"/>
  <c r="I57" i="3"/>
  <c r="L56" i="3"/>
  <c r="C56" i="3"/>
  <c r="S56" i="3" s="1"/>
  <c r="O55" i="3"/>
  <c r="F55" i="3"/>
  <c r="J54" i="3"/>
  <c r="O53" i="3"/>
  <c r="G53" i="3"/>
  <c r="L52" i="3"/>
  <c r="D52" i="3"/>
  <c r="I51" i="3"/>
  <c r="W50" i="3"/>
  <c r="Z50" i="3" s="1"/>
  <c r="N50" i="3"/>
  <c r="F50" i="3"/>
  <c r="K49" i="3"/>
  <c r="C49" i="3"/>
  <c r="S49" i="3" s="1"/>
  <c r="P48" i="3"/>
  <c r="Q48" i="3" s="1"/>
  <c r="H48" i="3"/>
  <c r="G85" i="3"/>
  <c r="K84" i="3"/>
  <c r="C83" i="3"/>
  <c r="S83" i="3" s="1"/>
  <c r="I82" i="3"/>
  <c r="C81" i="3"/>
  <c r="S81" i="3" s="1"/>
  <c r="I80" i="3"/>
  <c r="P79" i="3"/>
  <c r="Q79" i="3" s="1"/>
  <c r="C79" i="3"/>
  <c r="S79" i="3" s="1"/>
  <c r="I78" i="3"/>
  <c r="P77" i="3"/>
  <c r="Q77" i="3" s="1"/>
  <c r="W76" i="3"/>
  <c r="Z76" i="3" s="1"/>
  <c r="G76" i="3"/>
  <c r="P75" i="3"/>
  <c r="Q75" i="3" s="1"/>
  <c r="W74" i="3"/>
  <c r="Z74" i="3" s="1"/>
  <c r="G74" i="3"/>
  <c r="N73" i="3"/>
  <c r="W72" i="3"/>
  <c r="Z72" i="3" s="1"/>
  <c r="G72" i="3"/>
  <c r="N71" i="3"/>
  <c r="E70" i="3"/>
  <c r="N69" i="3"/>
  <c r="F68" i="3"/>
  <c r="P67" i="3"/>
  <c r="Q67" i="3" s="1"/>
  <c r="C67" i="3"/>
  <c r="S67" i="3" s="1"/>
  <c r="L66" i="3"/>
  <c r="I65" i="3"/>
  <c r="I64" i="3"/>
  <c r="H63" i="3"/>
  <c r="H62" i="3"/>
  <c r="H61" i="3"/>
  <c r="G60" i="3"/>
  <c r="G59" i="3"/>
  <c r="G58" i="3"/>
  <c r="G57" i="3"/>
  <c r="J56" i="3"/>
  <c r="W55" i="3"/>
  <c r="Z55" i="3" s="1"/>
  <c r="M55" i="3"/>
  <c r="C55" i="3"/>
  <c r="S55" i="3" s="1"/>
  <c r="P54" i="3"/>
  <c r="Q54" i="3" s="1"/>
  <c r="H54" i="3"/>
  <c r="M53" i="3"/>
  <c r="E53" i="3"/>
  <c r="J52" i="3"/>
  <c r="O51" i="3"/>
  <c r="G51" i="3"/>
  <c r="E85" i="3"/>
  <c r="J84" i="3"/>
  <c r="W82" i="3"/>
  <c r="Z82" i="3" s="1"/>
  <c r="H82" i="3"/>
  <c r="W80" i="3"/>
  <c r="Z80" i="3" s="1"/>
  <c r="H80" i="3"/>
  <c r="O79" i="3"/>
  <c r="H78" i="3"/>
  <c r="O77" i="3"/>
  <c r="F76" i="3"/>
  <c r="O75" i="3"/>
  <c r="F74" i="3"/>
  <c r="M73" i="3"/>
  <c r="F72" i="3"/>
  <c r="M71" i="3"/>
  <c r="D70" i="3"/>
  <c r="M69" i="3"/>
  <c r="E68" i="3"/>
  <c r="O67" i="3"/>
  <c r="W66" i="3"/>
  <c r="Z66" i="3" s="1"/>
  <c r="K66" i="3"/>
  <c r="G65" i="3"/>
  <c r="H64" i="3"/>
  <c r="G63" i="3"/>
  <c r="F62" i="3"/>
  <c r="G61" i="3"/>
  <c r="P60" i="3"/>
  <c r="Q60" i="3" s="1"/>
  <c r="F60" i="3"/>
  <c r="E59" i="3"/>
  <c r="P58" i="3"/>
  <c r="Q58" i="3" s="1"/>
  <c r="F58" i="3"/>
  <c r="O57" i="3"/>
  <c r="F57" i="3"/>
  <c r="I56" i="3"/>
  <c r="K55" i="3"/>
  <c r="O54" i="3"/>
  <c r="G54" i="3"/>
  <c r="L53" i="3"/>
  <c r="D53" i="3"/>
  <c r="I52" i="3"/>
  <c r="W51" i="3"/>
  <c r="Z51" i="3" s="1"/>
  <c r="N51" i="3"/>
  <c r="F51" i="3"/>
  <c r="O48" i="3"/>
  <c r="J49" i="3"/>
  <c r="E50" i="3"/>
  <c r="H51" i="3"/>
  <c r="I54" i="3"/>
  <c r="W65" i="3"/>
  <c r="Z65" i="3" s="1"/>
  <c r="G68" i="3"/>
  <c r="C71" i="3"/>
  <c r="S71" i="3" s="1"/>
  <c r="J76" i="3"/>
  <c r="E79" i="3"/>
  <c r="L84" i="3"/>
  <c r="W24" i="3"/>
  <c r="M49" i="3"/>
  <c r="H50" i="3"/>
  <c r="K51" i="3"/>
  <c r="W52" i="3"/>
  <c r="Z52" i="3" s="1"/>
  <c r="L54" i="3"/>
  <c r="E56" i="3"/>
  <c r="W57" i="3"/>
  <c r="Z57" i="3" s="1"/>
  <c r="C62" i="3"/>
  <c r="S62" i="3" s="1"/>
  <c r="C64" i="3"/>
  <c r="S64" i="3" s="1"/>
  <c r="F66" i="3"/>
  <c r="M68" i="3"/>
  <c r="F71" i="3"/>
  <c r="O76" i="3"/>
  <c r="H79" i="3"/>
  <c r="D82" i="3"/>
  <c r="W85" i="3"/>
  <c r="Z85" i="3" s="1"/>
  <c r="H24" i="3"/>
  <c r="F48" i="3"/>
  <c r="W48" i="3"/>
  <c r="Z48" i="3" s="1"/>
  <c r="L50" i="3"/>
  <c r="I53" i="3"/>
  <c r="N56" i="3"/>
  <c r="L58" i="3"/>
  <c r="M60" i="3"/>
  <c r="M62" i="3"/>
  <c r="N64" i="3"/>
  <c r="F69" i="3"/>
  <c r="O74" i="3"/>
  <c r="H77" i="3"/>
  <c r="P85" i="3"/>
  <c r="Q85" i="3" s="1"/>
  <c r="G48" i="3"/>
  <c r="M50" i="3"/>
  <c r="C52" i="3"/>
  <c r="S52" i="3" s="1"/>
  <c r="N53" i="3"/>
  <c r="E55" i="3"/>
  <c r="F67" i="3"/>
  <c r="O69" i="3"/>
  <c r="H72" i="3"/>
  <c r="C75" i="3"/>
  <c r="S75" i="3" s="1"/>
  <c r="J80" i="3"/>
  <c r="G83" i="3"/>
  <c r="J48" i="3"/>
  <c r="E49" i="3"/>
  <c r="P50" i="3"/>
  <c r="Q50" i="3" s="1"/>
  <c r="F52" i="3"/>
  <c r="H55" i="3"/>
  <c r="C57" i="3"/>
  <c r="S57" i="3" s="1"/>
  <c r="C63" i="3"/>
  <c r="S63" i="3" s="1"/>
  <c r="D65" i="3"/>
  <c r="I67" i="3"/>
  <c r="O72" i="3"/>
  <c r="H75" i="3"/>
  <c r="J83" i="3"/>
  <c r="M48" i="3"/>
  <c r="H49" i="3"/>
  <c r="C50" i="3"/>
  <c r="S50" i="3" s="1"/>
  <c r="K52" i="3"/>
  <c r="W53" i="3"/>
  <c r="Z53" i="3" s="1"/>
  <c r="N55" i="3"/>
  <c r="H57" i="3"/>
  <c r="I59" i="3"/>
  <c r="I61" i="3"/>
  <c r="I63" i="3"/>
  <c r="K65" i="3"/>
  <c r="H70" i="3"/>
  <c r="C73" i="3"/>
  <c r="S73" i="3" s="1"/>
  <c r="J78" i="3"/>
  <c r="E81" i="3"/>
  <c r="J81" i="3"/>
  <c r="D84" i="3"/>
  <c r="I86" i="4"/>
  <c r="L85" i="4"/>
  <c r="D85" i="4"/>
  <c r="O84" i="4"/>
  <c r="AA72" i="1" s="1"/>
  <c r="G84" i="4"/>
  <c r="J83" i="4"/>
  <c r="M82" i="4"/>
  <c r="E82" i="4"/>
  <c r="P81" i="4"/>
  <c r="Q81" i="4" s="1"/>
  <c r="H81" i="4"/>
  <c r="K80" i="4"/>
  <c r="C80" i="4"/>
  <c r="S80" i="4" s="1"/>
  <c r="N79" i="4"/>
  <c r="F79" i="4"/>
  <c r="I78" i="4"/>
  <c r="L77" i="4"/>
  <c r="D77" i="4"/>
  <c r="O76" i="4"/>
  <c r="G76" i="4"/>
  <c r="J75" i="4"/>
  <c r="M74" i="4"/>
  <c r="E74" i="4"/>
  <c r="P73" i="4"/>
  <c r="Q73" i="4" s="1"/>
  <c r="H73" i="4"/>
  <c r="K72" i="4"/>
  <c r="C72" i="4"/>
  <c r="S72" i="4" s="1"/>
  <c r="P86" i="4"/>
  <c r="H86" i="4"/>
  <c r="Y74" i="1" s="1"/>
  <c r="K85" i="4"/>
  <c r="C85" i="4"/>
  <c r="S85" i="4" s="1"/>
  <c r="N84" i="4"/>
  <c r="Z72" i="1" s="1"/>
  <c r="F84" i="4"/>
  <c r="I83" i="4"/>
  <c r="L82" i="4"/>
  <c r="D82" i="4"/>
  <c r="O81" i="4"/>
  <c r="G81" i="4"/>
  <c r="J80" i="4"/>
  <c r="M79" i="4"/>
  <c r="E79" i="4"/>
  <c r="P78" i="4"/>
  <c r="Q78" i="4" s="1"/>
  <c r="H78" i="4"/>
  <c r="K77" i="4"/>
  <c r="C77" i="4"/>
  <c r="S77" i="4" s="1"/>
  <c r="N76" i="4"/>
  <c r="F76" i="4"/>
  <c r="I75" i="4"/>
  <c r="L74" i="4"/>
  <c r="D74" i="4"/>
  <c r="O73" i="4"/>
  <c r="G73" i="4"/>
  <c r="J72" i="4"/>
  <c r="N86" i="4"/>
  <c r="Z74" i="1" s="1"/>
  <c r="F86" i="4"/>
  <c r="I85" i="4"/>
  <c r="L84" i="4"/>
  <c r="D84" i="4"/>
  <c r="O83" i="4"/>
  <c r="G83" i="4"/>
  <c r="J82" i="4"/>
  <c r="M81" i="4"/>
  <c r="E81" i="4"/>
  <c r="P80" i="4"/>
  <c r="Q80" i="4" s="1"/>
  <c r="H80" i="4"/>
  <c r="K79" i="4"/>
  <c r="C79" i="4"/>
  <c r="S79" i="4" s="1"/>
  <c r="N78" i="4"/>
  <c r="F78" i="4"/>
  <c r="I77" i="4"/>
  <c r="L76" i="4"/>
  <c r="D76" i="4"/>
  <c r="O75" i="4"/>
  <c r="G75" i="4"/>
  <c r="J74" i="4"/>
  <c r="M73" i="4"/>
  <c r="E73" i="4"/>
  <c r="P72" i="4"/>
  <c r="Q72" i="4" s="1"/>
  <c r="H72" i="4"/>
  <c r="L86" i="4"/>
  <c r="F85" i="4"/>
  <c r="K84" i="4"/>
  <c r="E83" i="4"/>
  <c r="K82" i="4"/>
  <c r="D81" i="4"/>
  <c r="L80" i="4"/>
  <c r="D79" i="4"/>
  <c r="K78" i="4"/>
  <c r="P77" i="4"/>
  <c r="Q77" i="4" s="1"/>
  <c r="E77" i="4"/>
  <c r="J76" i="4"/>
  <c r="P75" i="4"/>
  <c r="Q75" i="4" s="1"/>
  <c r="D75" i="4"/>
  <c r="I74" i="4"/>
  <c r="C73" i="4"/>
  <c r="S73" i="4" s="1"/>
  <c r="I72" i="4"/>
  <c r="K86" i="4"/>
  <c r="P85" i="4"/>
  <c r="E85" i="4"/>
  <c r="J84" i="4"/>
  <c r="P83" i="4"/>
  <c r="Q83" i="4" s="1"/>
  <c r="D83" i="4"/>
  <c r="I82" i="4"/>
  <c r="C81" i="4"/>
  <c r="S81" i="4" s="1"/>
  <c r="I80" i="4"/>
  <c r="P79" i="4"/>
  <c r="Q79" i="4" s="1"/>
  <c r="J78" i="4"/>
  <c r="O77" i="4"/>
  <c r="I76" i="4"/>
  <c r="N75" i="4"/>
  <c r="C75" i="4"/>
  <c r="S75" i="4" s="1"/>
  <c r="H74" i="4"/>
  <c r="N73" i="4"/>
  <c r="G72" i="4"/>
  <c r="J86" i="4"/>
  <c r="O85" i="4"/>
  <c r="AA73" i="1" s="1"/>
  <c r="I84" i="4"/>
  <c r="N83" i="4"/>
  <c r="C83" i="4"/>
  <c r="S83" i="4" s="1"/>
  <c r="H82" i="4"/>
  <c r="N81" i="4"/>
  <c r="G80" i="4"/>
  <c r="O79" i="4"/>
  <c r="G78" i="4"/>
  <c r="N77" i="4"/>
  <c r="H76" i="4"/>
  <c r="M75" i="4"/>
  <c r="G74" i="4"/>
  <c r="L73" i="4"/>
  <c r="F72" i="4"/>
  <c r="G86" i="4"/>
  <c r="N85" i="4"/>
  <c r="Z73" i="1" s="1"/>
  <c r="H84" i="4"/>
  <c r="Y72" i="1" s="1"/>
  <c r="M83" i="4"/>
  <c r="G82" i="4"/>
  <c r="L81" i="4"/>
  <c r="F80" i="4"/>
  <c r="L79" i="4"/>
  <c r="E78" i="4"/>
  <c r="M77" i="4"/>
  <c r="E76" i="4"/>
  <c r="L75" i="4"/>
  <c r="F74" i="4"/>
  <c r="K73" i="4"/>
  <c r="E72" i="4"/>
  <c r="E86" i="4"/>
  <c r="M85" i="4"/>
  <c r="E84" i="4"/>
  <c r="L83" i="4"/>
  <c r="F82" i="4"/>
  <c r="K81" i="4"/>
  <c r="E80" i="4"/>
  <c r="J79" i="4"/>
  <c r="D78" i="4"/>
  <c r="J77" i="4"/>
  <c r="C76" i="4"/>
  <c r="S76" i="4" s="1"/>
  <c r="K75" i="4"/>
  <c r="P74" i="4"/>
  <c r="Q74" i="4" s="1"/>
  <c r="C74" i="4"/>
  <c r="S74" i="4" s="1"/>
  <c r="J73" i="4"/>
  <c r="O72" i="4"/>
  <c r="D72" i="4"/>
  <c r="O86" i="4"/>
  <c r="AA74" i="1" s="1"/>
  <c r="F83" i="4"/>
  <c r="I81" i="4"/>
  <c r="I79" i="4"/>
  <c r="L72" i="4"/>
  <c r="D86" i="4"/>
  <c r="M84" i="4"/>
  <c r="O82" i="4"/>
  <c r="O80" i="4"/>
  <c r="G79" i="4"/>
  <c r="G77" i="4"/>
  <c r="H75" i="4"/>
  <c r="C86" i="4"/>
  <c r="S86" i="4" s="1"/>
  <c r="C84" i="4"/>
  <c r="S84" i="4" s="1"/>
  <c r="N82" i="4"/>
  <c r="N80" i="4"/>
  <c r="O78" i="4"/>
  <c r="F77" i="4"/>
  <c r="F75" i="4"/>
  <c r="I73" i="4"/>
  <c r="C82" i="4"/>
  <c r="S82" i="4" s="1"/>
  <c r="M80" i="4"/>
  <c r="M78" i="4"/>
  <c r="P76" i="4"/>
  <c r="Q76" i="4" s="1"/>
  <c r="E75" i="4"/>
  <c r="F73" i="4"/>
  <c r="J85" i="4"/>
  <c r="D80" i="4"/>
  <c r="L78" i="4"/>
  <c r="M76" i="4"/>
  <c r="O74" i="4"/>
  <c r="D73" i="4"/>
  <c r="F81" i="4"/>
  <c r="H85" i="4"/>
  <c r="Y73" i="1" s="1"/>
  <c r="K76" i="4"/>
  <c r="J81" i="4"/>
  <c r="M86" i="4"/>
  <c r="Z24" i="3" l="1"/>
  <c r="Q85" i="4"/>
  <c r="AB73" i="1"/>
  <c r="AC73" i="1" s="1"/>
  <c r="K5" i="2"/>
  <c r="K4" i="2"/>
  <c r="K2" i="2"/>
  <c r="L2" i="2" s="1"/>
  <c r="K3" i="2"/>
  <c r="L3" i="2" s="1"/>
  <c r="J3" i="2"/>
  <c r="J2" i="2"/>
  <c r="H14" i="2"/>
  <c r="J4" i="2"/>
  <c r="J5" i="2"/>
  <c r="Q86" i="4"/>
  <c r="AB74" i="1"/>
  <c r="AC74" i="1" s="1"/>
  <c r="L7" i="2" l="1"/>
  <c r="M3" i="2"/>
  <c r="N3" i="2" s="1"/>
  <c r="O13" i="1"/>
  <c r="O13" i="3" s="1"/>
  <c r="O13" i="4"/>
  <c r="C24" i="4" s="1"/>
  <c r="L6" i="2"/>
  <c r="M2" i="2"/>
  <c r="N2" i="2" s="1"/>
  <c r="O2" i="2" s="1"/>
  <c r="P2" i="2" s="1"/>
  <c r="Q2" i="2" s="1"/>
  <c r="L4" i="2"/>
  <c r="M4" i="2" s="1"/>
  <c r="N4" i="2" s="1"/>
  <c r="O4" i="2" s="1"/>
  <c r="P4" i="2" s="1"/>
  <c r="Q4" i="2" s="1"/>
  <c r="L5" i="2"/>
  <c r="M5" i="2" s="1"/>
  <c r="N5" i="2" s="1"/>
  <c r="O5" i="2" s="1"/>
  <c r="P5" i="2" s="1"/>
  <c r="Q5" i="2" s="1"/>
  <c r="H27" i="2"/>
  <c r="H15" i="2"/>
  <c r="S24" i="4" l="1"/>
  <c r="C25" i="4"/>
  <c r="D24" i="4"/>
  <c r="E24" i="4" s="1"/>
  <c r="H28" i="2"/>
  <c r="H16" i="2"/>
  <c r="O3" i="2"/>
  <c r="P13" i="3"/>
  <c r="C24" i="3" s="1"/>
  <c r="D24" i="3" l="1"/>
  <c r="E24" i="3" s="1"/>
  <c r="S24" i="3"/>
  <c r="C25" i="3"/>
  <c r="F24" i="4"/>
  <c r="G24" i="4" s="1"/>
  <c r="U24" i="4"/>
  <c r="V24" i="4"/>
  <c r="V25" i="4" s="1"/>
  <c r="V26" i="4" s="1"/>
  <c r="V27" i="4" s="1"/>
  <c r="V28" i="4" s="1"/>
  <c r="V29" i="4" s="1"/>
  <c r="V30" i="4" s="1"/>
  <c r="V31" i="4" s="1"/>
  <c r="V32" i="4" s="1"/>
  <c r="V33" i="4" s="1"/>
  <c r="V34" i="4" s="1"/>
  <c r="V35" i="4" s="1"/>
  <c r="V36" i="4" s="1"/>
  <c r="V37" i="4" s="1"/>
  <c r="V38" i="4" s="1"/>
  <c r="V39" i="4" s="1"/>
  <c r="V40" i="4" s="1"/>
  <c r="V41" i="4" s="1"/>
  <c r="V42" i="4" s="1"/>
  <c r="V43" i="4" s="1"/>
  <c r="V44" i="4" s="1"/>
  <c r="V45" i="4" s="1"/>
  <c r="V46" i="4" s="1"/>
  <c r="V47" i="4" s="1"/>
  <c r="V48" i="4" s="1"/>
  <c r="V49" i="4" s="1"/>
  <c r="V50" i="4" s="1"/>
  <c r="V51" i="4" s="1"/>
  <c r="V52" i="4" s="1"/>
  <c r="V53" i="4" s="1"/>
  <c r="V54" i="4" s="1"/>
  <c r="V55" i="4" s="1"/>
  <c r="V56" i="4" s="1"/>
  <c r="V57" i="4" s="1"/>
  <c r="V58" i="4" s="1"/>
  <c r="V59" i="4" s="1"/>
  <c r="V60" i="4" s="1"/>
  <c r="V61" i="4" s="1"/>
  <c r="V62" i="4" s="1"/>
  <c r="V63" i="4" s="1"/>
  <c r="V64" i="4" s="1"/>
  <c r="V65" i="4" s="1"/>
  <c r="V66" i="4" s="1"/>
  <c r="V67" i="4" s="1"/>
  <c r="V68" i="4" s="1"/>
  <c r="V69" i="4" s="1"/>
  <c r="V70" i="4" s="1"/>
  <c r="V71" i="4" s="1"/>
  <c r="V72" i="4" s="1"/>
  <c r="V73" i="4" s="1"/>
  <c r="V74" i="4" s="1"/>
  <c r="V75" i="4" s="1"/>
  <c r="V76" i="4" s="1"/>
  <c r="V77" i="4" s="1"/>
  <c r="V78" i="4" s="1"/>
  <c r="V79" i="4" s="1"/>
  <c r="V80" i="4" s="1"/>
  <c r="V81" i="4" s="1"/>
  <c r="V82" i="4" s="1"/>
  <c r="V83" i="4" s="1"/>
  <c r="V84" i="4" s="1"/>
  <c r="V85" i="4" s="1"/>
  <c r="V86" i="4" s="1"/>
  <c r="T24" i="4"/>
  <c r="P3" i="2"/>
  <c r="Q3" i="2" s="1"/>
  <c r="D11" i="1" s="1"/>
  <c r="P13" i="1"/>
  <c r="C24" i="1" s="1"/>
  <c r="H17" i="2"/>
  <c r="H29" i="2"/>
  <c r="S25" i="4"/>
  <c r="D25" i="4"/>
  <c r="E25" i="4" s="1"/>
  <c r="F25" i="4" s="1"/>
  <c r="G25" i="4" s="1"/>
  <c r="C26" i="4"/>
  <c r="H30" i="2" l="1"/>
  <c r="H18" i="2"/>
  <c r="U25" i="4"/>
  <c r="T25" i="4"/>
  <c r="F24" i="3"/>
  <c r="G24" i="3" s="1"/>
  <c r="J24" i="3"/>
  <c r="S26" i="4"/>
  <c r="D26" i="4"/>
  <c r="E26" i="4" s="1"/>
  <c r="F26" i="4" s="1"/>
  <c r="G26" i="4" s="1"/>
  <c r="C27" i="4"/>
  <c r="S25" i="3"/>
  <c r="C26" i="3"/>
  <c r="D25" i="3"/>
  <c r="E25" i="3" s="1"/>
  <c r="F25" i="3" s="1"/>
  <c r="G25" i="3" s="1"/>
  <c r="D24" i="1"/>
  <c r="E24" i="1" s="1"/>
  <c r="S24" i="1"/>
  <c r="C25" i="1"/>
  <c r="U24" i="3"/>
  <c r="T24" i="3"/>
  <c r="V24" i="3"/>
  <c r="V25" i="3" s="1"/>
  <c r="V26" i="3" s="1"/>
  <c r="V27" i="3" s="1"/>
  <c r="V28" i="3" s="1"/>
  <c r="V29" i="3" s="1"/>
  <c r="V30" i="3" s="1"/>
  <c r="V31" i="3" s="1"/>
  <c r="V32" i="3" s="1"/>
  <c r="V33" i="3" s="1"/>
  <c r="V34" i="3" s="1"/>
  <c r="V35" i="3" s="1"/>
  <c r="V36" i="3" s="1"/>
  <c r="V37" i="3" s="1"/>
  <c r="V38" i="3" s="1"/>
  <c r="V39" i="3" s="1"/>
  <c r="V40" i="3" s="1"/>
  <c r="V41" i="3" s="1"/>
  <c r="V42" i="3" s="1"/>
  <c r="V43" i="3" s="1"/>
  <c r="V44" i="3" s="1"/>
  <c r="V45" i="3" s="1"/>
  <c r="V46" i="3" s="1"/>
  <c r="V47" i="3" s="1"/>
  <c r="V48" i="3" s="1"/>
  <c r="V49" i="3" s="1"/>
  <c r="V50" i="3" s="1"/>
  <c r="V51" i="3" s="1"/>
  <c r="V52" i="3" s="1"/>
  <c r="V53" i="3" s="1"/>
  <c r="V54" i="3" s="1"/>
  <c r="V55" i="3" s="1"/>
  <c r="V56" i="3" s="1"/>
  <c r="V57" i="3" s="1"/>
  <c r="V58" i="3" s="1"/>
  <c r="V59" i="3" s="1"/>
  <c r="V60" i="3" s="1"/>
  <c r="V61" i="3" s="1"/>
  <c r="V62" i="3" s="1"/>
  <c r="V63" i="3" s="1"/>
  <c r="V64" i="3" s="1"/>
  <c r="V65" i="3" s="1"/>
  <c r="V66" i="3" s="1"/>
  <c r="V67" i="3" s="1"/>
  <c r="V68" i="3" s="1"/>
  <c r="V69" i="3" s="1"/>
  <c r="V70" i="3" s="1"/>
  <c r="V71" i="3" s="1"/>
  <c r="V72" i="3" s="1"/>
  <c r="V73" i="3" s="1"/>
  <c r="V74" i="3" s="1"/>
  <c r="V75" i="3" s="1"/>
  <c r="V76" i="3" s="1"/>
  <c r="V77" i="3" s="1"/>
  <c r="V78" i="3" s="1"/>
  <c r="V79" i="3" s="1"/>
  <c r="V80" i="3" s="1"/>
  <c r="V81" i="3" s="1"/>
  <c r="V82" i="3" s="1"/>
  <c r="V83" i="3" s="1"/>
  <c r="V84" i="3" s="1"/>
  <c r="V85" i="3" s="1"/>
  <c r="U25" i="3" l="1"/>
  <c r="T25" i="3"/>
  <c r="S27" i="4"/>
  <c r="D27" i="4"/>
  <c r="E27" i="4" s="1"/>
  <c r="F27" i="4" s="1"/>
  <c r="G27" i="4" s="1"/>
  <c r="C28" i="4"/>
  <c r="D25" i="1"/>
  <c r="E25" i="1" s="1"/>
  <c r="C26" i="1"/>
  <c r="S25" i="1"/>
  <c r="U24" i="1"/>
  <c r="V24" i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T24" i="1"/>
  <c r="U26" i="4"/>
  <c r="T26" i="4"/>
  <c r="H19" i="2"/>
  <c r="H31" i="2"/>
  <c r="F24" i="1"/>
  <c r="G24" i="1" s="1"/>
  <c r="C27" i="3"/>
  <c r="S26" i="3"/>
  <c r="D26" i="3"/>
  <c r="E26" i="3" s="1"/>
  <c r="F26" i="3" s="1"/>
  <c r="G26" i="3" s="1"/>
  <c r="T27" i="4" l="1"/>
  <c r="U27" i="4"/>
  <c r="F25" i="1"/>
  <c r="G25" i="1" s="1"/>
  <c r="H32" i="2"/>
  <c r="H20" i="2"/>
  <c r="S28" i="4"/>
  <c r="D28" i="4"/>
  <c r="E28" i="4" s="1"/>
  <c r="C29" i="4"/>
  <c r="D26" i="1"/>
  <c r="E26" i="1" s="1"/>
  <c r="F26" i="1" s="1"/>
  <c r="G26" i="1" s="1"/>
  <c r="S26" i="1"/>
  <c r="C27" i="1"/>
  <c r="U25" i="1"/>
  <c r="T25" i="1"/>
  <c r="S27" i="3"/>
  <c r="C28" i="3"/>
  <c r="D27" i="3"/>
  <c r="E27" i="3" s="1"/>
  <c r="U26" i="3"/>
  <c r="T26" i="3"/>
  <c r="U26" i="1" l="1"/>
  <c r="T26" i="1"/>
  <c r="H21" i="2"/>
  <c r="H33" i="2"/>
  <c r="F28" i="4"/>
  <c r="G28" i="4" s="1"/>
  <c r="D27" i="1"/>
  <c r="E27" i="1" s="1"/>
  <c r="F27" i="1" s="1"/>
  <c r="G27" i="1" s="1"/>
  <c r="S27" i="1"/>
  <c r="C28" i="1"/>
  <c r="T27" i="3"/>
  <c r="U27" i="3"/>
  <c r="U28" i="4"/>
  <c r="T28" i="4"/>
  <c r="F27" i="3"/>
  <c r="G27" i="3" s="1"/>
  <c r="S28" i="3"/>
  <c r="C29" i="3"/>
  <c r="D28" i="3"/>
  <c r="E28" i="3" s="1"/>
  <c r="F28" i="3" s="1"/>
  <c r="G28" i="3" s="1"/>
  <c r="S29" i="4"/>
  <c r="C30" i="4"/>
  <c r="D29" i="4"/>
  <c r="E29" i="4" s="1"/>
  <c r="F29" i="4" s="1"/>
  <c r="G29" i="4" s="1"/>
  <c r="S30" i="4" l="1"/>
  <c r="D30" i="4"/>
  <c r="E30" i="4" s="1"/>
  <c r="F30" i="4" s="1"/>
  <c r="G30" i="4" s="1"/>
  <c r="C31" i="4"/>
  <c r="T29" i="4"/>
  <c r="U29" i="4"/>
  <c r="U28" i="3"/>
  <c r="T28" i="3"/>
  <c r="H34" i="2"/>
  <c r="H22" i="2"/>
  <c r="D29" i="3"/>
  <c r="E29" i="3" s="1"/>
  <c r="S29" i="3"/>
  <c r="C30" i="3"/>
  <c r="D28" i="1"/>
  <c r="E28" i="1" s="1"/>
  <c r="F28" i="1" s="1"/>
  <c r="G28" i="1" s="1"/>
  <c r="S28" i="1"/>
  <c r="C29" i="1"/>
  <c r="U27" i="1"/>
  <c r="T27" i="1"/>
  <c r="U29" i="3" l="1"/>
  <c r="T29" i="3"/>
  <c r="D30" i="3"/>
  <c r="E30" i="3" s="1"/>
  <c r="S30" i="3"/>
  <c r="C31" i="3"/>
  <c r="F29" i="3"/>
  <c r="G29" i="3" s="1"/>
  <c r="S31" i="4"/>
  <c r="C32" i="4"/>
  <c r="D31" i="4"/>
  <c r="E31" i="4" s="1"/>
  <c r="F31" i="4" s="1"/>
  <c r="G31" i="4" s="1"/>
  <c r="U28" i="1"/>
  <c r="T28" i="1"/>
  <c r="H35" i="2"/>
  <c r="H23" i="2"/>
  <c r="D29" i="1"/>
  <c r="E29" i="1" s="1"/>
  <c r="F29" i="1" s="1"/>
  <c r="G29" i="1" s="1"/>
  <c r="C30" i="1"/>
  <c r="S29" i="1"/>
  <c r="T30" i="4"/>
  <c r="U30" i="4"/>
  <c r="H36" i="2" l="1"/>
  <c r="H24" i="2"/>
  <c r="D30" i="1"/>
  <c r="E30" i="1" s="1"/>
  <c r="F30" i="1" s="1"/>
  <c r="G30" i="1" s="1"/>
  <c r="S30" i="1"/>
  <c r="C31" i="1"/>
  <c r="U29" i="1"/>
  <c r="T29" i="1"/>
  <c r="S31" i="3"/>
  <c r="C32" i="3"/>
  <c r="D31" i="3"/>
  <c r="E31" i="3" s="1"/>
  <c r="F30" i="3"/>
  <c r="G30" i="3" s="1"/>
  <c r="U31" i="4"/>
  <c r="T31" i="4"/>
  <c r="S32" i="4"/>
  <c r="C33" i="4"/>
  <c r="D32" i="4"/>
  <c r="E32" i="4" s="1"/>
  <c r="F32" i="4" s="1"/>
  <c r="G32" i="4" s="1"/>
  <c r="U30" i="3"/>
  <c r="T30" i="3"/>
  <c r="U30" i="1" l="1"/>
  <c r="T30" i="1"/>
  <c r="D31" i="1"/>
  <c r="E31" i="1" s="1"/>
  <c r="F31" i="1" s="1"/>
  <c r="G31" i="1" s="1"/>
  <c r="C32" i="1"/>
  <c r="S31" i="1"/>
  <c r="U32" i="4"/>
  <c r="T32" i="4"/>
  <c r="S33" i="4"/>
  <c r="D33" i="4"/>
  <c r="E33" i="4" s="1"/>
  <c r="F33" i="4" s="1"/>
  <c r="G33" i="4" s="1"/>
  <c r="C34" i="4"/>
  <c r="H37" i="2"/>
  <c r="H25" i="2"/>
  <c r="F31" i="3"/>
  <c r="G31" i="3" s="1"/>
  <c r="U31" i="3"/>
  <c r="T31" i="3"/>
  <c r="S32" i="3"/>
  <c r="C33" i="3"/>
  <c r="D32" i="3"/>
  <c r="E32" i="3" s="1"/>
  <c r="F32" i="3" s="1"/>
  <c r="G32" i="3" s="1"/>
  <c r="S34" i="4" l="1"/>
  <c r="D34" i="4"/>
  <c r="E34" i="4" s="1"/>
  <c r="F34" i="4" s="1"/>
  <c r="G34" i="4" s="1"/>
  <c r="C35" i="4"/>
  <c r="U32" i="3"/>
  <c r="T32" i="3"/>
  <c r="U33" i="4"/>
  <c r="T33" i="4"/>
  <c r="H38" i="2"/>
  <c r="H26" i="2"/>
  <c r="D32" i="1"/>
  <c r="E32" i="1" s="1"/>
  <c r="F32" i="1" s="1"/>
  <c r="G32" i="1" s="1"/>
  <c r="S32" i="1"/>
  <c r="C33" i="1"/>
  <c r="S33" i="3"/>
  <c r="C34" i="3"/>
  <c r="D33" i="3"/>
  <c r="E33" i="3" s="1"/>
  <c r="F33" i="3" s="1"/>
  <c r="G33" i="3" s="1"/>
  <c r="U31" i="1"/>
  <c r="T31" i="1"/>
  <c r="U34" i="4" l="1"/>
  <c r="T34" i="4"/>
  <c r="D33" i="1"/>
  <c r="E33" i="1" s="1"/>
  <c r="F33" i="1" s="1"/>
  <c r="G33" i="1" s="1"/>
  <c r="C34" i="1"/>
  <c r="S33" i="1"/>
  <c r="U33" i="3"/>
  <c r="T33" i="3"/>
  <c r="S35" i="4"/>
  <c r="D35" i="4"/>
  <c r="E35" i="4" s="1"/>
  <c r="F35" i="4" s="1"/>
  <c r="G35" i="4" s="1"/>
  <c r="C36" i="4"/>
  <c r="U32" i="1"/>
  <c r="T32" i="1"/>
  <c r="C35" i="3"/>
  <c r="S34" i="3"/>
  <c r="D34" i="3"/>
  <c r="E34" i="3" s="1"/>
  <c r="F34" i="3" s="1"/>
  <c r="G34" i="3" s="1"/>
  <c r="U34" i="3" l="1"/>
  <c r="T34" i="3"/>
  <c r="S35" i="3"/>
  <c r="D35" i="3"/>
  <c r="E35" i="3" s="1"/>
  <c r="F35" i="3" s="1"/>
  <c r="G35" i="3" s="1"/>
  <c r="C36" i="3"/>
  <c r="D34" i="1"/>
  <c r="E34" i="1" s="1"/>
  <c r="F34" i="1" s="1"/>
  <c r="G34" i="1" s="1"/>
  <c r="S34" i="1"/>
  <c r="C35" i="1"/>
  <c r="U33" i="1"/>
  <c r="T33" i="1"/>
  <c r="S36" i="4"/>
  <c r="D36" i="4"/>
  <c r="E36" i="4" s="1"/>
  <c r="F36" i="4" s="1"/>
  <c r="G36" i="4" s="1"/>
  <c r="C37" i="4"/>
  <c r="T35" i="4"/>
  <c r="U35" i="4"/>
  <c r="D35" i="1" l="1"/>
  <c r="E35" i="1" s="1"/>
  <c r="F35" i="1" s="1"/>
  <c r="G35" i="1" s="1"/>
  <c r="S35" i="1"/>
  <c r="C36" i="1"/>
  <c r="S37" i="4"/>
  <c r="D37" i="4"/>
  <c r="E37" i="4" s="1"/>
  <c r="F37" i="4" s="1"/>
  <c r="G37" i="4" s="1"/>
  <c r="C38" i="4"/>
  <c r="U36" i="4"/>
  <c r="T36" i="4"/>
  <c r="S36" i="3"/>
  <c r="C37" i="3"/>
  <c r="D36" i="3"/>
  <c r="E36" i="3" s="1"/>
  <c r="F36" i="3" s="1"/>
  <c r="G36" i="3" s="1"/>
  <c r="U34" i="1"/>
  <c r="T34" i="1"/>
  <c r="T35" i="3"/>
  <c r="U35" i="3"/>
  <c r="T37" i="4" l="1"/>
  <c r="U37" i="4"/>
  <c r="S38" i="4"/>
  <c r="D38" i="4"/>
  <c r="E38" i="4" s="1"/>
  <c r="F38" i="4" s="1"/>
  <c r="G38" i="4" s="1"/>
  <c r="C39" i="4"/>
  <c r="U36" i="3"/>
  <c r="T36" i="3"/>
  <c r="U35" i="1"/>
  <c r="T35" i="1"/>
  <c r="D36" i="1"/>
  <c r="E36" i="1" s="1"/>
  <c r="F36" i="1" s="1"/>
  <c r="G36" i="1" s="1"/>
  <c r="C37" i="1"/>
  <c r="S36" i="1"/>
  <c r="D37" i="3"/>
  <c r="E37" i="3" s="1"/>
  <c r="F37" i="3" s="1"/>
  <c r="G37" i="3" s="1"/>
  <c r="S37" i="3"/>
  <c r="C38" i="3"/>
  <c r="U36" i="1" l="1"/>
  <c r="T36" i="1"/>
  <c r="D38" i="3"/>
  <c r="E38" i="3" s="1"/>
  <c r="F38" i="3" s="1"/>
  <c r="G38" i="3" s="1"/>
  <c r="S38" i="3"/>
  <c r="C39" i="3"/>
  <c r="U37" i="3"/>
  <c r="T37" i="3"/>
  <c r="S39" i="4"/>
  <c r="C40" i="4"/>
  <c r="D39" i="4"/>
  <c r="E39" i="4" s="1"/>
  <c r="F39" i="4" s="1"/>
  <c r="G39" i="4" s="1"/>
  <c r="U38" i="4"/>
  <c r="T38" i="4"/>
  <c r="D37" i="1"/>
  <c r="E37" i="1" s="1"/>
  <c r="F37" i="1" s="1"/>
  <c r="G37" i="1" s="1"/>
  <c r="C38" i="1"/>
  <c r="S37" i="1"/>
  <c r="U38" i="3" l="1"/>
  <c r="T38" i="3"/>
  <c r="S39" i="3"/>
  <c r="C40" i="3"/>
  <c r="D39" i="3"/>
  <c r="E39" i="3" s="1"/>
  <c r="F39" i="3" s="1"/>
  <c r="G39" i="3" s="1"/>
  <c r="D38" i="1"/>
  <c r="E38" i="1" s="1"/>
  <c r="F38" i="1" s="1"/>
  <c r="G38" i="1" s="1"/>
  <c r="S38" i="1"/>
  <c r="C39" i="1"/>
  <c r="U39" i="4"/>
  <c r="T39" i="4"/>
  <c r="S40" i="4"/>
  <c r="C41" i="4"/>
  <c r="D40" i="4"/>
  <c r="E40" i="4" s="1"/>
  <c r="F40" i="4" s="1"/>
  <c r="G40" i="4" s="1"/>
  <c r="U37" i="1"/>
  <c r="T37" i="1"/>
  <c r="D39" i="1" l="1"/>
  <c r="E39" i="1" s="1"/>
  <c r="F39" i="1" s="1"/>
  <c r="G39" i="1" s="1"/>
  <c r="S39" i="1"/>
  <c r="C40" i="1"/>
  <c r="U38" i="1"/>
  <c r="T38" i="1"/>
  <c r="S41" i="4"/>
  <c r="D41" i="4"/>
  <c r="E41" i="4" s="1"/>
  <c r="F41" i="4" s="1"/>
  <c r="G41" i="4" s="1"/>
  <c r="C42" i="4"/>
  <c r="S40" i="3"/>
  <c r="D40" i="3"/>
  <c r="E40" i="3" s="1"/>
  <c r="F40" i="3" s="1"/>
  <c r="G40" i="3" s="1"/>
  <c r="C41" i="3"/>
  <c r="U40" i="4"/>
  <c r="T40" i="4"/>
  <c r="U39" i="3"/>
  <c r="T39" i="3"/>
  <c r="S42" i="4" l="1"/>
  <c r="D42" i="4"/>
  <c r="E42" i="4" s="1"/>
  <c r="F42" i="4" s="1"/>
  <c r="G42" i="4" s="1"/>
  <c r="C43" i="4"/>
  <c r="U39" i="1"/>
  <c r="T39" i="1"/>
  <c r="T41" i="4"/>
  <c r="U41" i="4"/>
  <c r="S41" i="3"/>
  <c r="C42" i="3"/>
  <c r="D41" i="3"/>
  <c r="E41" i="3" s="1"/>
  <c r="F41" i="3" s="1"/>
  <c r="G41" i="3" s="1"/>
  <c r="D40" i="1"/>
  <c r="E40" i="1" s="1"/>
  <c r="F40" i="1" s="1"/>
  <c r="G40" i="1" s="1"/>
  <c r="S40" i="1"/>
  <c r="C41" i="1"/>
  <c r="U40" i="3"/>
  <c r="T40" i="3"/>
  <c r="T42" i="4" l="1"/>
  <c r="U42" i="4"/>
  <c r="U40" i="1"/>
  <c r="T40" i="1"/>
  <c r="D43" i="4"/>
  <c r="E43" i="4" s="1"/>
  <c r="F43" i="4" s="1"/>
  <c r="G43" i="4" s="1"/>
  <c r="S43" i="4"/>
  <c r="C44" i="4"/>
  <c r="U41" i="3"/>
  <c r="T41" i="3"/>
  <c r="D41" i="1"/>
  <c r="E41" i="1" s="1"/>
  <c r="F41" i="1" s="1"/>
  <c r="G41" i="1" s="1"/>
  <c r="S41" i="1"/>
  <c r="C42" i="1"/>
  <c r="C43" i="3"/>
  <c r="S42" i="3"/>
  <c r="D42" i="3"/>
  <c r="E42" i="3" s="1"/>
  <c r="F42" i="3" s="1"/>
  <c r="G42" i="3" s="1"/>
  <c r="S44" i="4" l="1"/>
  <c r="D44" i="4"/>
  <c r="E44" i="4" s="1"/>
  <c r="F44" i="4" s="1"/>
  <c r="G44" i="4" s="1"/>
  <c r="C45" i="4"/>
  <c r="U42" i="3"/>
  <c r="T42" i="3"/>
  <c r="S43" i="3"/>
  <c r="D43" i="3"/>
  <c r="E43" i="3" s="1"/>
  <c r="F43" i="3" s="1"/>
  <c r="G43" i="3" s="1"/>
  <c r="C44" i="3"/>
  <c r="D42" i="1"/>
  <c r="E42" i="1" s="1"/>
  <c r="F42" i="1" s="1"/>
  <c r="G42" i="1" s="1"/>
  <c r="S42" i="1"/>
  <c r="C43" i="1"/>
  <c r="U41" i="1"/>
  <c r="T41" i="1"/>
  <c r="T43" i="4"/>
  <c r="U43" i="4"/>
  <c r="S44" i="3" l="1"/>
  <c r="C45" i="3"/>
  <c r="D44" i="3"/>
  <c r="E44" i="3" s="1"/>
  <c r="F44" i="3" s="1"/>
  <c r="G44" i="3" s="1"/>
  <c r="D43" i="1"/>
  <c r="E43" i="1" s="1"/>
  <c r="F43" i="1" s="1"/>
  <c r="G43" i="1" s="1"/>
  <c r="C44" i="1"/>
  <c r="S43" i="1"/>
  <c r="U44" i="4"/>
  <c r="T44" i="4"/>
  <c r="U42" i="1"/>
  <c r="T42" i="1"/>
  <c r="T43" i="3"/>
  <c r="U43" i="3"/>
  <c r="S45" i="4"/>
  <c r="C46" i="4"/>
  <c r="D45" i="4"/>
  <c r="E45" i="4" s="1"/>
  <c r="F45" i="4" s="1"/>
  <c r="G45" i="4" s="1"/>
  <c r="U43" i="1" l="1"/>
  <c r="T43" i="1"/>
  <c r="T45" i="4"/>
  <c r="U45" i="4"/>
  <c r="D44" i="1"/>
  <c r="E44" i="1" s="1"/>
  <c r="F44" i="1" s="1"/>
  <c r="G44" i="1" s="1"/>
  <c r="C45" i="1"/>
  <c r="S44" i="1"/>
  <c r="S46" i="4"/>
  <c r="D46" i="4"/>
  <c r="E46" i="4" s="1"/>
  <c r="F46" i="4" s="1"/>
  <c r="G46" i="4" s="1"/>
  <c r="C47" i="4"/>
  <c r="U44" i="3"/>
  <c r="T44" i="3"/>
  <c r="S45" i="3"/>
  <c r="D45" i="3"/>
  <c r="E45" i="3" s="1"/>
  <c r="F45" i="3" s="1"/>
  <c r="G45" i="3" s="1"/>
  <c r="C46" i="3"/>
  <c r="S46" i="3" l="1"/>
  <c r="D46" i="3"/>
  <c r="E46" i="3" s="1"/>
  <c r="F46" i="3" s="1"/>
  <c r="G46" i="3" s="1"/>
  <c r="C47" i="3"/>
  <c r="T46" i="4"/>
  <c r="U46" i="4"/>
  <c r="D45" i="1"/>
  <c r="E45" i="1" s="1"/>
  <c r="F45" i="1" s="1"/>
  <c r="G45" i="1" s="1"/>
  <c r="C46" i="1"/>
  <c r="S45" i="1"/>
  <c r="U45" i="3"/>
  <c r="T45" i="3"/>
  <c r="S47" i="4"/>
  <c r="D47" i="4"/>
  <c r="E47" i="4" s="1"/>
  <c r="F47" i="4" s="1"/>
  <c r="G47" i="4" s="1"/>
  <c r="C48" i="4"/>
  <c r="U44" i="1"/>
  <c r="T44" i="1"/>
  <c r="D46" i="1" l="1"/>
  <c r="E46" i="1" s="1"/>
  <c r="F46" i="1" s="1"/>
  <c r="G46" i="1" s="1"/>
  <c r="S46" i="1"/>
  <c r="C47" i="1"/>
  <c r="U47" i="4"/>
  <c r="T47" i="4"/>
  <c r="S47" i="3"/>
  <c r="D47" i="3"/>
  <c r="E47" i="3" s="1"/>
  <c r="U45" i="1"/>
  <c r="T45" i="1"/>
  <c r="S48" i="4"/>
  <c r="C49" i="4"/>
  <c r="D48" i="4"/>
  <c r="E48" i="4" s="1"/>
  <c r="F48" i="4" s="1"/>
  <c r="G48" i="4" s="1"/>
  <c r="T46" i="3"/>
  <c r="U46" i="3"/>
  <c r="S49" i="4" l="1"/>
  <c r="C50" i="4"/>
  <c r="D49" i="4"/>
  <c r="E49" i="4" s="1"/>
  <c r="F49" i="4" s="1"/>
  <c r="G49" i="4" s="1"/>
  <c r="D47" i="1"/>
  <c r="E47" i="1" s="1"/>
  <c r="F47" i="1" s="1"/>
  <c r="G47" i="1" s="1"/>
  <c r="S47" i="1"/>
  <c r="C48" i="1"/>
  <c r="U46" i="1"/>
  <c r="T46" i="1"/>
  <c r="F47" i="3"/>
  <c r="G47" i="3" s="1"/>
  <c r="G87" i="3" s="1"/>
  <c r="E87" i="3"/>
  <c r="T47" i="3"/>
  <c r="U47" i="3"/>
  <c r="U48" i="4"/>
  <c r="T48" i="4"/>
  <c r="U47" i="1" l="1"/>
  <c r="T47" i="1"/>
  <c r="D48" i="1"/>
  <c r="E48" i="1" s="1"/>
  <c r="F48" i="1" s="1"/>
  <c r="G48" i="1" s="1"/>
  <c r="S48" i="1"/>
  <c r="C49" i="1"/>
  <c r="K46" i="3"/>
  <c r="K42" i="3"/>
  <c r="K36" i="3"/>
  <c r="K33" i="3"/>
  <c r="K24" i="3"/>
  <c r="K28" i="3"/>
  <c r="K25" i="3"/>
  <c r="K27" i="3"/>
  <c r="K44" i="3"/>
  <c r="K38" i="3"/>
  <c r="K35" i="3"/>
  <c r="K30" i="3"/>
  <c r="K43" i="3"/>
  <c r="K37" i="3"/>
  <c r="K34" i="3"/>
  <c r="K40" i="3"/>
  <c r="K45" i="3"/>
  <c r="K47" i="3"/>
  <c r="K32" i="3"/>
  <c r="K41" i="3"/>
  <c r="K29" i="3"/>
  <c r="K26" i="3"/>
  <c r="K39" i="3"/>
  <c r="K31" i="3"/>
  <c r="U49" i="4"/>
  <c r="T49" i="4"/>
  <c r="U48" i="3"/>
  <c r="T48" i="3"/>
  <c r="S50" i="4"/>
  <c r="D50" i="4"/>
  <c r="E50" i="4" s="1"/>
  <c r="F50" i="4" s="1"/>
  <c r="G50" i="4" s="1"/>
  <c r="C51" i="4"/>
  <c r="U49" i="3" l="1"/>
  <c r="T49" i="3"/>
  <c r="P47" i="3"/>
  <c r="P38" i="3"/>
  <c r="P42" i="3"/>
  <c r="U50" i="4"/>
  <c r="T50" i="4"/>
  <c r="P45" i="3"/>
  <c r="P44" i="3"/>
  <c r="P46" i="3"/>
  <c r="P32" i="3"/>
  <c r="P35" i="3"/>
  <c r="P36" i="3"/>
  <c r="P31" i="3"/>
  <c r="P40" i="3"/>
  <c r="P27" i="3"/>
  <c r="D49" i="1"/>
  <c r="E49" i="1" s="1"/>
  <c r="F49" i="1" s="1"/>
  <c r="G49" i="1" s="1"/>
  <c r="C50" i="1"/>
  <c r="S49" i="1"/>
  <c r="P34" i="3"/>
  <c r="P29" i="3"/>
  <c r="P43" i="3"/>
  <c r="K87" i="3"/>
  <c r="I24" i="3"/>
  <c r="P24" i="3"/>
  <c r="C15" i="3"/>
  <c r="C14" i="3" s="1"/>
  <c r="S51" i="4"/>
  <c r="C52" i="4"/>
  <c r="D51" i="4"/>
  <c r="E51" i="4" s="1"/>
  <c r="F51" i="4" s="1"/>
  <c r="G51" i="4" s="1"/>
  <c r="P39" i="3"/>
  <c r="P25" i="3"/>
  <c r="P26" i="3"/>
  <c r="P37" i="3"/>
  <c r="P28" i="3"/>
  <c r="P41" i="3"/>
  <c r="P30" i="3"/>
  <c r="P33" i="3"/>
  <c r="U48" i="1"/>
  <c r="T48" i="1"/>
  <c r="Q30" i="3" l="1"/>
  <c r="Q34" i="3"/>
  <c r="Q41" i="3"/>
  <c r="Q25" i="3"/>
  <c r="M24" i="3"/>
  <c r="N24" i="3" s="1"/>
  <c r="L24" i="3"/>
  <c r="H25" i="3" s="1"/>
  <c r="Q46" i="3"/>
  <c r="Q42" i="3"/>
  <c r="Q31" i="3"/>
  <c r="Q38" i="3"/>
  <c r="U49" i="1"/>
  <c r="T49" i="1"/>
  <c r="Q43" i="3"/>
  <c r="Q37" i="3"/>
  <c r="Q35" i="3"/>
  <c r="Q45" i="3"/>
  <c r="Q47" i="3"/>
  <c r="Q26" i="3"/>
  <c r="P87" i="3"/>
  <c r="Q24" i="3"/>
  <c r="D50" i="1"/>
  <c r="E50" i="1" s="1"/>
  <c r="F50" i="1" s="1"/>
  <c r="G50" i="1" s="1"/>
  <c r="S50" i="1"/>
  <c r="C51" i="1"/>
  <c r="Q36" i="3"/>
  <c r="Q44" i="3"/>
  <c r="Q33" i="3"/>
  <c r="S52" i="4"/>
  <c r="D52" i="4"/>
  <c r="E52" i="4" s="1"/>
  <c r="F52" i="4" s="1"/>
  <c r="G52" i="4" s="1"/>
  <c r="C53" i="4"/>
  <c r="Q29" i="3"/>
  <c r="Q27" i="3"/>
  <c r="Q28" i="3"/>
  <c r="Q39" i="3"/>
  <c r="Q40" i="3"/>
  <c r="Q32" i="3"/>
  <c r="U51" i="4"/>
  <c r="T51" i="4"/>
  <c r="U50" i="3"/>
  <c r="T50" i="3"/>
  <c r="W25" i="3" l="1"/>
  <c r="J25" i="3"/>
  <c r="D51" i="1"/>
  <c r="E51" i="1" s="1"/>
  <c r="F51" i="1" s="1"/>
  <c r="G51" i="1" s="1"/>
  <c r="S51" i="1"/>
  <c r="C52" i="1"/>
  <c r="U50" i="1"/>
  <c r="T50" i="1"/>
  <c r="O24" i="3"/>
  <c r="U51" i="3"/>
  <c r="T51" i="3"/>
  <c r="U52" i="4"/>
  <c r="T52" i="4"/>
  <c r="S53" i="4"/>
  <c r="C54" i="4"/>
  <c r="D53" i="4"/>
  <c r="E53" i="4" s="1"/>
  <c r="F53" i="4" s="1"/>
  <c r="G53" i="4" s="1"/>
  <c r="D52" i="1" l="1"/>
  <c r="E52" i="1" s="1"/>
  <c r="F52" i="1" s="1"/>
  <c r="G52" i="1" s="1"/>
  <c r="C53" i="1"/>
  <c r="S52" i="1"/>
  <c r="S54" i="4"/>
  <c r="C55" i="4"/>
  <c r="D54" i="4"/>
  <c r="E54" i="4" s="1"/>
  <c r="F54" i="4" s="1"/>
  <c r="G54" i="4" s="1"/>
  <c r="T53" i="4"/>
  <c r="U53" i="4"/>
  <c r="I25" i="3"/>
  <c r="M25" i="3"/>
  <c r="N25" i="3" s="1"/>
  <c r="U51" i="1"/>
  <c r="T51" i="1"/>
  <c r="U52" i="3"/>
  <c r="T52" i="3"/>
  <c r="Z25" i="3"/>
  <c r="U54" i="4" l="1"/>
  <c r="T54" i="4"/>
  <c r="T53" i="3"/>
  <c r="U53" i="3"/>
  <c r="S55" i="4"/>
  <c r="D55" i="4"/>
  <c r="E55" i="4" s="1"/>
  <c r="F55" i="4" s="1"/>
  <c r="G55" i="4" s="1"/>
  <c r="C56" i="4"/>
  <c r="U52" i="1"/>
  <c r="T52" i="1"/>
  <c r="O25" i="3"/>
  <c r="L25" i="3"/>
  <c r="H26" i="3" s="1"/>
  <c r="D53" i="1"/>
  <c r="E53" i="1" s="1"/>
  <c r="F53" i="1" s="1"/>
  <c r="G53" i="1" s="1"/>
  <c r="C54" i="1"/>
  <c r="S53" i="1"/>
  <c r="U53" i="1" l="1"/>
  <c r="T53" i="1"/>
  <c r="J26" i="3"/>
  <c r="W26" i="3"/>
  <c r="T54" i="3"/>
  <c r="U54" i="3"/>
  <c r="D54" i="1"/>
  <c r="E54" i="1" s="1"/>
  <c r="F54" i="1" s="1"/>
  <c r="G54" i="1" s="1"/>
  <c r="S54" i="1"/>
  <c r="C55" i="1"/>
  <c r="S56" i="4"/>
  <c r="D56" i="4"/>
  <c r="E56" i="4" s="1"/>
  <c r="F56" i="4" s="1"/>
  <c r="G56" i="4" s="1"/>
  <c r="C57" i="4"/>
  <c r="T55" i="4"/>
  <c r="U55" i="4"/>
  <c r="U55" i="3" l="1"/>
  <c r="T55" i="3"/>
  <c r="U56" i="4"/>
  <c r="T56" i="4"/>
  <c r="S57" i="4"/>
  <c r="D57" i="4"/>
  <c r="E57" i="4" s="1"/>
  <c r="F57" i="4" s="1"/>
  <c r="G57" i="4" s="1"/>
  <c r="C58" i="4"/>
  <c r="Z26" i="3"/>
  <c r="I26" i="3"/>
  <c r="M26" i="3"/>
  <c r="N26" i="3" s="1"/>
  <c r="D55" i="1"/>
  <c r="E55" i="1" s="1"/>
  <c r="F55" i="1" s="1"/>
  <c r="G55" i="1" s="1"/>
  <c r="C56" i="1"/>
  <c r="S55" i="1"/>
  <c r="U54" i="1"/>
  <c r="T54" i="1"/>
  <c r="U55" i="1" l="1"/>
  <c r="T55" i="1"/>
  <c r="D56" i="1"/>
  <c r="E56" i="1" s="1"/>
  <c r="F56" i="1" s="1"/>
  <c r="G56" i="1" s="1"/>
  <c r="S56" i="1"/>
  <c r="C57" i="1"/>
  <c r="S58" i="4"/>
  <c r="C59" i="4"/>
  <c r="D58" i="4"/>
  <c r="E58" i="4" s="1"/>
  <c r="F58" i="4" s="1"/>
  <c r="G58" i="4" s="1"/>
  <c r="U57" i="4"/>
  <c r="T57" i="4"/>
  <c r="O26" i="3"/>
  <c r="L26" i="3"/>
  <c r="H27" i="3" s="1"/>
  <c r="T56" i="3"/>
  <c r="U56" i="3"/>
  <c r="W27" i="3" l="1"/>
  <c r="J27" i="3"/>
  <c r="D57" i="1"/>
  <c r="E57" i="1" s="1"/>
  <c r="F57" i="1" s="1"/>
  <c r="G57" i="1" s="1"/>
  <c r="S57" i="1"/>
  <c r="C58" i="1"/>
  <c r="U58" i="4"/>
  <c r="T58" i="4"/>
  <c r="S59" i="4"/>
  <c r="C60" i="4"/>
  <c r="D59" i="4"/>
  <c r="E59" i="4" s="1"/>
  <c r="F59" i="4" s="1"/>
  <c r="G59" i="4" s="1"/>
  <c r="U57" i="3"/>
  <c r="T57" i="3"/>
  <c r="U56" i="1"/>
  <c r="T56" i="1"/>
  <c r="U57" i="1" l="1"/>
  <c r="T57" i="1"/>
  <c r="D58" i="1"/>
  <c r="E58" i="1" s="1"/>
  <c r="F58" i="1" s="1"/>
  <c r="G58" i="1" s="1"/>
  <c r="S58" i="1"/>
  <c r="C59" i="1"/>
  <c r="T58" i="3"/>
  <c r="U58" i="3"/>
  <c r="S60" i="4"/>
  <c r="D60" i="4"/>
  <c r="E60" i="4" s="1"/>
  <c r="F60" i="4" s="1"/>
  <c r="G60" i="4" s="1"/>
  <c r="C61" i="4"/>
  <c r="I27" i="3"/>
  <c r="M27" i="3"/>
  <c r="N27" i="3" s="1"/>
  <c r="U59" i="4"/>
  <c r="T59" i="4"/>
  <c r="Z27" i="3"/>
  <c r="U60" i="4" l="1"/>
  <c r="T60" i="4"/>
  <c r="O27" i="3"/>
  <c r="L27" i="3"/>
  <c r="H28" i="3" s="1"/>
  <c r="S61" i="4"/>
  <c r="D61" i="4"/>
  <c r="E61" i="4" s="1"/>
  <c r="F61" i="4" s="1"/>
  <c r="G61" i="4" s="1"/>
  <c r="C62" i="4"/>
  <c r="U59" i="3"/>
  <c r="T59" i="3"/>
  <c r="D59" i="1"/>
  <c r="E59" i="1" s="1"/>
  <c r="F59" i="1" s="1"/>
  <c r="G59" i="1" s="1"/>
  <c r="S59" i="1"/>
  <c r="C60" i="1"/>
  <c r="U58" i="1"/>
  <c r="T58" i="1"/>
  <c r="W28" i="3" l="1"/>
  <c r="J28" i="3"/>
  <c r="D60" i="1"/>
  <c r="E60" i="1" s="1"/>
  <c r="F60" i="1" s="1"/>
  <c r="G60" i="1" s="1"/>
  <c r="C61" i="1"/>
  <c r="S60" i="1"/>
  <c r="U59" i="1"/>
  <c r="T59" i="1"/>
  <c r="T60" i="3"/>
  <c r="U60" i="3"/>
  <c r="S62" i="4"/>
  <c r="D62" i="4"/>
  <c r="E62" i="4" s="1"/>
  <c r="F62" i="4" s="1"/>
  <c r="G62" i="4" s="1"/>
  <c r="C63" i="4"/>
  <c r="U61" i="4"/>
  <c r="T61" i="4"/>
  <c r="U60" i="1" l="1"/>
  <c r="T60" i="1"/>
  <c r="D61" i="1"/>
  <c r="E61" i="1" s="1"/>
  <c r="F61" i="1" s="1"/>
  <c r="G61" i="1" s="1"/>
  <c r="S61" i="1"/>
  <c r="C62" i="1"/>
  <c r="S63" i="4"/>
  <c r="C64" i="4"/>
  <c r="D63" i="4"/>
  <c r="E63" i="4" s="1"/>
  <c r="F63" i="4" s="1"/>
  <c r="G63" i="4" s="1"/>
  <c r="T62" i="4"/>
  <c r="U62" i="4"/>
  <c r="U61" i="3"/>
  <c r="T61" i="3"/>
  <c r="I28" i="3"/>
  <c r="M28" i="3"/>
  <c r="N28" i="3" s="1"/>
  <c r="O28" i="3" s="1"/>
  <c r="Z28" i="3"/>
  <c r="S64" i="4" l="1"/>
  <c r="D64" i="4"/>
  <c r="E64" i="4" s="1"/>
  <c r="F64" i="4" s="1"/>
  <c r="G64" i="4" s="1"/>
  <c r="C65" i="4"/>
  <c r="L28" i="3"/>
  <c r="H29" i="3" s="1"/>
  <c r="D62" i="1"/>
  <c r="E62" i="1" s="1"/>
  <c r="F62" i="1" s="1"/>
  <c r="G62" i="1" s="1"/>
  <c r="S62" i="1"/>
  <c r="C63" i="1"/>
  <c r="T63" i="4"/>
  <c r="U63" i="4"/>
  <c r="T62" i="3"/>
  <c r="U62" i="3"/>
  <c r="U61" i="1"/>
  <c r="T61" i="1"/>
  <c r="D63" i="1" l="1"/>
  <c r="E63" i="1" s="1"/>
  <c r="F63" i="1" s="1"/>
  <c r="G63" i="1" s="1"/>
  <c r="C64" i="1"/>
  <c r="S63" i="1"/>
  <c r="U62" i="1"/>
  <c r="T62" i="1"/>
  <c r="U63" i="3"/>
  <c r="T63" i="3"/>
  <c r="S65" i="4"/>
  <c r="D65" i="4"/>
  <c r="E65" i="4" s="1"/>
  <c r="F65" i="4" s="1"/>
  <c r="G65" i="4" s="1"/>
  <c r="C66" i="4"/>
  <c r="J29" i="3"/>
  <c r="W29" i="3"/>
  <c r="Z29" i="3" s="1"/>
  <c r="T64" i="4"/>
  <c r="U64" i="4"/>
  <c r="T64" i="3" l="1"/>
  <c r="U64" i="3"/>
  <c r="U63" i="1"/>
  <c r="T63" i="1"/>
  <c r="U65" i="4"/>
  <c r="T65" i="4"/>
  <c r="I29" i="3"/>
  <c r="L29" i="3" s="1"/>
  <c r="H30" i="3" s="1"/>
  <c r="M29" i="3"/>
  <c r="N29" i="3" s="1"/>
  <c r="O29" i="3" s="1"/>
  <c r="S66" i="4"/>
  <c r="C67" i="4"/>
  <c r="D66" i="4"/>
  <c r="E66" i="4" s="1"/>
  <c r="F66" i="4" s="1"/>
  <c r="G66" i="4" s="1"/>
  <c r="D64" i="1"/>
  <c r="E64" i="1" s="1"/>
  <c r="F64" i="1" s="1"/>
  <c r="G64" i="1" s="1"/>
  <c r="S64" i="1"/>
  <c r="C65" i="1"/>
  <c r="W30" i="3" l="1"/>
  <c r="Z30" i="3" s="1"/>
  <c r="J30" i="3"/>
  <c r="U66" i="4"/>
  <c r="T66" i="4"/>
  <c r="U64" i="1"/>
  <c r="T64" i="1"/>
  <c r="D65" i="1"/>
  <c r="E65" i="1" s="1"/>
  <c r="F65" i="1" s="1"/>
  <c r="G65" i="1" s="1"/>
  <c r="S65" i="1"/>
  <c r="C66" i="1"/>
  <c r="S67" i="4"/>
  <c r="D67" i="4"/>
  <c r="E67" i="4" s="1"/>
  <c r="F67" i="4" s="1"/>
  <c r="G67" i="4" s="1"/>
  <c r="C68" i="4"/>
  <c r="T65" i="3"/>
  <c r="U65" i="3"/>
  <c r="U66" i="3" l="1"/>
  <c r="T66" i="3"/>
  <c r="U67" i="4"/>
  <c r="T67" i="4"/>
  <c r="I30" i="3"/>
  <c r="L30" i="3" s="1"/>
  <c r="H31" i="3" s="1"/>
  <c r="M30" i="3"/>
  <c r="N30" i="3" s="1"/>
  <c r="O30" i="3" s="1"/>
  <c r="U65" i="1"/>
  <c r="T65" i="1"/>
  <c r="S68" i="4"/>
  <c r="D68" i="4"/>
  <c r="E68" i="4" s="1"/>
  <c r="F68" i="4" s="1"/>
  <c r="G68" i="4" s="1"/>
  <c r="C69" i="4"/>
  <c r="D66" i="1"/>
  <c r="E66" i="1" s="1"/>
  <c r="F66" i="1" s="1"/>
  <c r="G66" i="1" s="1"/>
  <c r="S66" i="1"/>
  <c r="C67" i="1"/>
  <c r="U66" i="1" l="1"/>
  <c r="T66" i="1"/>
  <c r="J31" i="3"/>
  <c r="W31" i="3"/>
  <c r="Z31" i="3" s="1"/>
  <c r="D67" i="1"/>
  <c r="E67" i="1" s="1"/>
  <c r="F67" i="1" s="1"/>
  <c r="G67" i="1" s="1"/>
  <c r="S67" i="1"/>
  <c r="C68" i="1"/>
  <c r="U68" i="4"/>
  <c r="T68" i="4"/>
  <c r="S69" i="4"/>
  <c r="C70" i="4"/>
  <c r="D69" i="4"/>
  <c r="E69" i="4" s="1"/>
  <c r="F69" i="4" s="1"/>
  <c r="G69" i="4" s="1"/>
  <c r="U67" i="3"/>
  <c r="T67" i="3"/>
  <c r="D68" i="1" l="1"/>
  <c r="E68" i="1" s="1"/>
  <c r="F68" i="1" s="1"/>
  <c r="G68" i="1" s="1"/>
  <c r="S68" i="1"/>
  <c r="C69" i="1"/>
  <c r="I31" i="3"/>
  <c r="L31" i="3" s="1"/>
  <c r="H32" i="3" s="1"/>
  <c r="M31" i="3"/>
  <c r="N31" i="3" s="1"/>
  <c r="O31" i="3" s="1"/>
  <c r="T68" i="3"/>
  <c r="U68" i="3"/>
  <c r="S70" i="4"/>
  <c r="C71" i="4"/>
  <c r="D70" i="4"/>
  <c r="E70" i="4" s="1"/>
  <c r="F70" i="4" s="1"/>
  <c r="G70" i="4" s="1"/>
  <c r="U69" i="4"/>
  <c r="T69" i="4"/>
  <c r="U67" i="1"/>
  <c r="T67" i="1"/>
  <c r="U69" i="3" l="1"/>
  <c r="T69" i="3"/>
  <c r="U68" i="1"/>
  <c r="T68" i="1"/>
  <c r="J32" i="3"/>
  <c r="W32" i="3"/>
  <c r="Z32" i="3" s="1"/>
  <c r="S71" i="4"/>
  <c r="D71" i="4"/>
  <c r="E71" i="4" s="1"/>
  <c r="U70" i="4"/>
  <c r="T70" i="4"/>
  <c r="D69" i="1"/>
  <c r="E69" i="1" s="1"/>
  <c r="F69" i="1" s="1"/>
  <c r="G69" i="1" s="1"/>
  <c r="S69" i="1"/>
  <c r="C70" i="1"/>
  <c r="I32" i="3" l="1"/>
  <c r="L32" i="3" s="1"/>
  <c r="H33" i="3" s="1"/>
  <c r="M32" i="3"/>
  <c r="N32" i="3" s="1"/>
  <c r="O32" i="3" s="1"/>
  <c r="U69" i="1"/>
  <c r="T69" i="1"/>
  <c r="D70" i="1"/>
  <c r="E70" i="1" s="1"/>
  <c r="F70" i="1" s="1"/>
  <c r="G70" i="1" s="1"/>
  <c r="S70" i="1"/>
  <c r="C71" i="1"/>
  <c r="T71" i="4"/>
  <c r="U71" i="4"/>
  <c r="F71" i="4"/>
  <c r="G71" i="4" s="1"/>
  <c r="G87" i="4" s="1"/>
  <c r="E87" i="4"/>
  <c r="T70" i="3"/>
  <c r="U70" i="3"/>
  <c r="D71" i="1" l="1"/>
  <c r="E71" i="1" s="1"/>
  <c r="S71" i="1"/>
  <c r="U71" i="3"/>
  <c r="T71" i="3"/>
  <c r="U70" i="1"/>
  <c r="T70" i="1"/>
  <c r="T72" i="4"/>
  <c r="U72" i="4"/>
  <c r="W33" i="3"/>
  <c r="Z33" i="3" s="1"/>
  <c r="J33" i="3"/>
  <c r="U73" i="4" l="1"/>
  <c r="T73" i="4"/>
  <c r="U71" i="1"/>
  <c r="T71" i="1"/>
  <c r="I33" i="3"/>
  <c r="L33" i="3" s="1"/>
  <c r="H34" i="3" s="1"/>
  <c r="M33" i="3"/>
  <c r="N33" i="3" s="1"/>
  <c r="O33" i="3" s="1"/>
  <c r="U72" i="3"/>
  <c r="T72" i="3"/>
  <c r="F71" i="1"/>
  <c r="G71" i="1" s="1"/>
  <c r="G75" i="1" s="1"/>
  <c r="E75" i="1"/>
  <c r="U73" i="3" l="1"/>
  <c r="T73" i="3"/>
  <c r="J34" i="3"/>
  <c r="W34" i="3"/>
  <c r="Z34" i="3" s="1"/>
  <c r="U74" i="4"/>
  <c r="T74" i="4"/>
  <c r="U75" i="4" l="1"/>
  <c r="T75" i="4"/>
  <c r="I34" i="3"/>
  <c r="L34" i="3" s="1"/>
  <c r="H35" i="3" s="1"/>
  <c r="M34" i="3"/>
  <c r="N34" i="3" s="1"/>
  <c r="O34" i="3" s="1"/>
  <c r="T74" i="3"/>
  <c r="U74" i="3"/>
  <c r="U75" i="3" l="1"/>
  <c r="T75" i="3"/>
  <c r="W35" i="3"/>
  <c r="Z35" i="3" s="1"/>
  <c r="J35" i="3"/>
  <c r="U76" i="4"/>
  <c r="T76" i="4"/>
  <c r="U77" i="4" l="1"/>
  <c r="T77" i="4"/>
  <c r="I35" i="3"/>
  <c r="L35" i="3" s="1"/>
  <c r="H36" i="3" s="1"/>
  <c r="M35" i="3"/>
  <c r="N35" i="3" s="1"/>
  <c r="O35" i="3" s="1"/>
  <c r="T76" i="3"/>
  <c r="U76" i="3"/>
  <c r="U77" i="3" l="1"/>
  <c r="T77" i="3"/>
  <c r="W36" i="3"/>
  <c r="Z36" i="3" s="1"/>
  <c r="J36" i="3"/>
  <c r="U78" i="4"/>
  <c r="T78" i="4"/>
  <c r="T79" i="4" l="1"/>
  <c r="U79" i="4"/>
  <c r="I36" i="3"/>
  <c r="L36" i="3" s="1"/>
  <c r="H37" i="3" s="1"/>
  <c r="M36" i="3"/>
  <c r="N36" i="3" s="1"/>
  <c r="O36" i="3" s="1"/>
  <c r="T78" i="3"/>
  <c r="U78" i="3"/>
  <c r="U79" i="3" l="1"/>
  <c r="T79" i="3"/>
  <c r="W37" i="3"/>
  <c r="Z37" i="3" s="1"/>
  <c r="J37" i="3"/>
  <c r="T80" i="4"/>
  <c r="U80" i="4"/>
  <c r="U81" i="4" l="1"/>
  <c r="T81" i="4"/>
  <c r="I37" i="3"/>
  <c r="L37" i="3" s="1"/>
  <c r="H38" i="3" s="1"/>
  <c r="M37" i="3"/>
  <c r="N37" i="3" s="1"/>
  <c r="O37" i="3" s="1"/>
  <c r="U80" i="3"/>
  <c r="T80" i="3"/>
  <c r="W38" i="3" l="1"/>
  <c r="Z38" i="3" s="1"/>
  <c r="J38" i="3"/>
  <c r="U81" i="3"/>
  <c r="T81" i="3"/>
  <c r="U82" i="4"/>
  <c r="T82" i="4"/>
  <c r="T83" i="4" l="1"/>
  <c r="U83" i="4"/>
  <c r="T82" i="3"/>
  <c r="U82" i="3"/>
  <c r="I38" i="3"/>
  <c r="L38" i="3" s="1"/>
  <c r="H39" i="3" s="1"/>
  <c r="M38" i="3"/>
  <c r="N38" i="3" s="1"/>
  <c r="O38" i="3" s="1"/>
  <c r="U83" i="3" l="1"/>
  <c r="T83" i="3"/>
  <c r="U84" i="4"/>
  <c r="T84" i="4"/>
  <c r="J39" i="3"/>
  <c r="W39" i="3"/>
  <c r="Z39" i="3" s="1"/>
  <c r="I39" i="3" l="1"/>
  <c r="L39" i="3" s="1"/>
  <c r="H40" i="3" s="1"/>
  <c r="M39" i="3"/>
  <c r="N39" i="3" s="1"/>
  <c r="O39" i="3" s="1"/>
  <c r="U85" i="4"/>
  <c r="T85" i="4"/>
  <c r="U84" i="3"/>
  <c r="T84" i="3"/>
  <c r="U85" i="3" l="1"/>
  <c r="T85" i="3"/>
  <c r="U86" i="4"/>
  <c r="T86" i="4"/>
  <c r="J40" i="3"/>
  <c r="W40" i="3"/>
  <c r="Z40" i="3" s="1"/>
  <c r="I40" i="3" l="1"/>
  <c r="L40" i="3" s="1"/>
  <c r="H41" i="3" s="1"/>
  <c r="M40" i="3"/>
  <c r="N40" i="3" s="1"/>
  <c r="O40" i="3" s="1"/>
  <c r="J41" i="3" l="1"/>
  <c r="W41" i="3"/>
  <c r="Z41" i="3" s="1"/>
  <c r="I41" i="3" l="1"/>
  <c r="L41" i="3" s="1"/>
  <c r="H42" i="3" s="1"/>
  <c r="M41" i="3"/>
  <c r="N41" i="3" s="1"/>
  <c r="O41" i="3" s="1"/>
  <c r="W42" i="3" l="1"/>
  <c r="Z42" i="3" s="1"/>
  <c r="J42" i="3"/>
  <c r="I42" i="3" l="1"/>
  <c r="L42" i="3" s="1"/>
  <c r="H43" i="3" s="1"/>
  <c r="M42" i="3"/>
  <c r="N42" i="3" s="1"/>
  <c r="O42" i="3" s="1"/>
  <c r="W43" i="3" l="1"/>
  <c r="Z43" i="3" s="1"/>
  <c r="J43" i="3"/>
  <c r="I43" i="3" l="1"/>
  <c r="L43" i="3" s="1"/>
  <c r="H44" i="3" s="1"/>
  <c r="M43" i="3"/>
  <c r="N43" i="3" s="1"/>
  <c r="O43" i="3" s="1"/>
  <c r="W44" i="3" l="1"/>
  <c r="Z44" i="3" s="1"/>
  <c r="J44" i="3"/>
  <c r="I44" i="3" l="1"/>
  <c r="L44" i="3" s="1"/>
  <c r="H45" i="3" s="1"/>
  <c r="M44" i="3"/>
  <c r="N44" i="3" s="1"/>
  <c r="O44" i="3" s="1"/>
  <c r="W45" i="3" l="1"/>
  <c r="Z45" i="3" s="1"/>
  <c r="J45" i="3"/>
  <c r="I45" i="3" l="1"/>
  <c r="L45" i="3" s="1"/>
  <c r="H46" i="3" s="1"/>
  <c r="M45" i="3"/>
  <c r="N45" i="3" s="1"/>
  <c r="O45" i="3" s="1"/>
  <c r="W46" i="3" l="1"/>
  <c r="Z46" i="3" s="1"/>
  <c r="J46" i="3"/>
  <c r="I46" i="3" l="1"/>
  <c r="L46" i="3" s="1"/>
  <c r="H47" i="3" s="1"/>
  <c r="M46" i="3"/>
  <c r="N46" i="3" s="1"/>
  <c r="O46" i="3" s="1"/>
  <c r="I47" i="3" l="1"/>
  <c r="L47" i="3" s="1"/>
  <c r="W47" i="3"/>
  <c r="Z47" i="3" l="1"/>
  <c r="AA24" i="3" s="1"/>
  <c r="F14" i="1" s="1"/>
  <c r="X24" i="3"/>
  <c r="J47" i="3"/>
  <c r="I87" i="3"/>
  <c r="M47" i="3" l="1"/>
  <c r="N47" i="3" s="1"/>
  <c r="J87" i="3"/>
  <c r="F14" i="4"/>
  <c r="F15" i="1"/>
  <c r="F15" i="4" l="1"/>
  <c r="H24" i="1"/>
  <c r="K66" i="1"/>
  <c r="K58" i="1"/>
  <c r="K50" i="1"/>
  <c r="K34" i="1"/>
  <c r="K27" i="1"/>
  <c r="K59" i="1"/>
  <c r="K71" i="1"/>
  <c r="K63" i="1"/>
  <c r="K68" i="1"/>
  <c r="K60" i="1"/>
  <c r="K52" i="1"/>
  <c r="K44" i="1"/>
  <c r="K36" i="1"/>
  <c r="K28" i="1"/>
  <c r="K61" i="1"/>
  <c r="K45" i="1"/>
  <c r="K29" i="1"/>
  <c r="K69" i="1"/>
  <c r="K39" i="1"/>
  <c r="K53" i="1"/>
  <c r="K37" i="1"/>
  <c r="K55" i="1"/>
  <c r="K31" i="1"/>
  <c r="K62" i="1"/>
  <c r="K54" i="1"/>
  <c r="K46" i="1"/>
  <c r="K38" i="1"/>
  <c r="K30" i="1"/>
  <c r="K47" i="1"/>
  <c r="K64" i="1"/>
  <c r="K56" i="1"/>
  <c r="K48" i="1"/>
  <c r="K40" i="1"/>
  <c r="K32" i="1"/>
  <c r="K24" i="1"/>
  <c r="K42" i="1"/>
  <c r="K26" i="1"/>
  <c r="K67" i="1"/>
  <c r="K43" i="1"/>
  <c r="K35" i="1"/>
  <c r="K65" i="1"/>
  <c r="K57" i="1"/>
  <c r="K49" i="1"/>
  <c r="K41" i="1"/>
  <c r="K33" i="1"/>
  <c r="K25" i="1"/>
  <c r="K70" i="1"/>
  <c r="K51" i="1"/>
  <c r="O47" i="3"/>
  <c r="O87" i="3" s="1"/>
  <c r="N87" i="3"/>
  <c r="P64" i="1" l="1"/>
  <c r="P28" i="1"/>
  <c r="P59" i="1"/>
  <c r="P55" i="1"/>
  <c r="P33" i="1"/>
  <c r="P26" i="1"/>
  <c r="P47" i="1"/>
  <c r="P37" i="1"/>
  <c r="P36" i="1"/>
  <c r="P27" i="1"/>
  <c r="P30" i="1"/>
  <c r="P44" i="1"/>
  <c r="P38" i="1"/>
  <c r="P39" i="1"/>
  <c r="P52" i="1"/>
  <c r="P50" i="1"/>
  <c r="P41" i="1"/>
  <c r="P53" i="1"/>
  <c r="P49" i="1"/>
  <c r="P32" i="1"/>
  <c r="P60" i="1"/>
  <c r="P58" i="1"/>
  <c r="P67" i="1"/>
  <c r="K75" i="1"/>
  <c r="P24" i="1"/>
  <c r="C15" i="1"/>
  <c r="C14" i="1" s="1"/>
  <c r="P65" i="1"/>
  <c r="P40" i="1"/>
  <c r="P54" i="1"/>
  <c r="P29" i="1"/>
  <c r="P68" i="1"/>
  <c r="P66" i="1"/>
  <c r="P42" i="1"/>
  <c r="P34" i="1"/>
  <c r="P57" i="1"/>
  <c r="P69" i="1"/>
  <c r="P51" i="1"/>
  <c r="P35" i="1"/>
  <c r="P48" i="1"/>
  <c r="P62" i="1"/>
  <c r="P45" i="1"/>
  <c r="P63" i="1"/>
  <c r="J24" i="1"/>
  <c r="P25" i="1"/>
  <c r="P46" i="1"/>
  <c r="P70" i="1"/>
  <c r="P43" i="1"/>
  <c r="P56" i="1"/>
  <c r="P31" i="1"/>
  <c r="P61" i="1"/>
  <c r="P71" i="1"/>
  <c r="K25" i="4"/>
  <c r="K38" i="4"/>
  <c r="K68" i="4"/>
  <c r="K62" i="4"/>
  <c r="K30" i="4"/>
  <c r="K49" i="4"/>
  <c r="K70" i="4"/>
  <c r="K65" i="4"/>
  <c r="K66" i="4"/>
  <c r="H24" i="4"/>
  <c r="K40" i="4"/>
  <c r="K60" i="4"/>
  <c r="K39" i="4"/>
  <c r="K71" i="4"/>
  <c r="K36" i="4"/>
  <c r="K53" i="4"/>
  <c r="K43" i="4"/>
  <c r="K27" i="4"/>
  <c r="K54" i="4"/>
  <c r="K46" i="4"/>
  <c r="K37" i="4"/>
  <c r="K56" i="4"/>
  <c r="K57" i="4"/>
  <c r="K69" i="4"/>
  <c r="K34" i="4"/>
  <c r="K28" i="4"/>
  <c r="K61" i="4"/>
  <c r="K55" i="4"/>
  <c r="K51" i="4"/>
  <c r="K45" i="4"/>
  <c r="K41" i="4"/>
  <c r="K35" i="4"/>
  <c r="K29" i="4"/>
  <c r="K26" i="4"/>
  <c r="K32" i="4"/>
  <c r="K48" i="4"/>
  <c r="K24" i="4"/>
  <c r="K64" i="4"/>
  <c r="K67" i="4"/>
  <c r="K42" i="4"/>
  <c r="K58" i="4"/>
  <c r="K47" i="4"/>
  <c r="K31" i="4"/>
  <c r="K44" i="4"/>
  <c r="K33" i="4"/>
  <c r="K63" i="4"/>
  <c r="K52" i="4"/>
  <c r="K59" i="4"/>
  <c r="K50" i="4"/>
  <c r="P60" i="4" l="1"/>
  <c r="P31" i="4"/>
  <c r="P68" i="4"/>
  <c r="Q45" i="1"/>
  <c r="Q50" i="1"/>
  <c r="P47" i="4"/>
  <c r="P28" i="4"/>
  <c r="P27" i="4"/>
  <c r="Y24" i="1"/>
  <c r="J24" i="4"/>
  <c r="L24" i="4"/>
  <c r="H25" i="4" s="1"/>
  <c r="P38" i="4"/>
  <c r="P55" i="4"/>
  <c r="P54" i="4"/>
  <c r="Q31" i="1"/>
  <c r="Q51" i="1"/>
  <c r="Q54" i="1"/>
  <c r="Q44" i="1"/>
  <c r="P26" i="4"/>
  <c r="P29" i="4"/>
  <c r="P34" i="4"/>
  <c r="P43" i="4"/>
  <c r="P66" i="4"/>
  <c r="P25" i="4"/>
  <c r="Q56" i="1"/>
  <c r="Q25" i="1"/>
  <c r="Q62" i="1"/>
  <c r="Q69" i="1"/>
  <c r="Q66" i="1"/>
  <c r="Q40" i="1"/>
  <c r="Q67" i="1"/>
  <c r="Q49" i="1"/>
  <c r="Q52" i="1"/>
  <c r="Q30" i="1"/>
  <c r="Q47" i="1"/>
  <c r="Q59" i="1"/>
  <c r="P48" i="4"/>
  <c r="P40" i="4"/>
  <c r="Q46" i="1"/>
  <c r="Q42" i="1"/>
  <c r="Q55" i="1"/>
  <c r="P50" i="4"/>
  <c r="P53" i="4"/>
  <c r="P46" i="4"/>
  <c r="P61" i="4"/>
  <c r="Q32" i="1"/>
  <c r="Q37" i="1"/>
  <c r="P58" i="4"/>
  <c r="P59" i="4"/>
  <c r="P42" i="4"/>
  <c r="P35" i="4"/>
  <c r="P69" i="4"/>
  <c r="P65" i="4"/>
  <c r="P52" i="4"/>
  <c r="P67" i="4"/>
  <c r="P41" i="4"/>
  <c r="P57" i="4"/>
  <c r="P36" i="4"/>
  <c r="P70" i="4"/>
  <c r="Q71" i="1"/>
  <c r="Q43" i="1"/>
  <c r="Q48" i="1"/>
  <c r="Q57" i="1"/>
  <c r="Q68" i="1"/>
  <c r="Q65" i="1"/>
  <c r="Q58" i="1"/>
  <c r="Q53" i="1"/>
  <c r="Q39" i="1"/>
  <c r="Q27" i="1"/>
  <c r="Q26" i="1"/>
  <c r="Q28" i="1"/>
  <c r="P44" i="4"/>
  <c r="P62" i="4"/>
  <c r="P75" i="1"/>
  <c r="Q24" i="1"/>
  <c r="P32" i="4"/>
  <c r="P63" i="4"/>
  <c r="P64" i="4"/>
  <c r="P45" i="4"/>
  <c r="P56" i="4"/>
  <c r="P71" i="4"/>
  <c r="P49" i="4"/>
  <c r="P33" i="4"/>
  <c r="K87" i="4"/>
  <c r="C15" i="4"/>
  <c r="C14" i="4" s="1"/>
  <c r="Z14" i="1" s="1"/>
  <c r="P24" i="4"/>
  <c r="I24" i="4"/>
  <c r="P51" i="4"/>
  <c r="P37" i="4"/>
  <c r="P39" i="4"/>
  <c r="P30" i="4"/>
  <c r="Q61" i="1"/>
  <c r="Q70" i="1"/>
  <c r="Q63" i="1"/>
  <c r="Q35" i="1"/>
  <c r="Q34" i="1"/>
  <c r="Q29" i="1"/>
  <c r="I24" i="1"/>
  <c r="Q60" i="1"/>
  <c r="Q41" i="1"/>
  <c r="Q38" i="1"/>
  <c r="Q36" i="1"/>
  <c r="Q33" i="1"/>
  <c r="Q64" i="1"/>
  <c r="Q49" i="4" l="1"/>
  <c r="AB49" i="1"/>
  <c r="AC49" i="1" s="1"/>
  <c r="Q26" i="4"/>
  <c r="AB26" i="1"/>
  <c r="AC26" i="1" s="1"/>
  <c r="J25" i="4"/>
  <c r="I25" i="4" s="1"/>
  <c r="Y25" i="1"/>
  <c r="L25" i="4"/>
  <c r="H26" i="4" s="1"/>
  <c r="Q47" i="4"/>
  <c r="AB47" i="1"/>
  <c r="AC47" i="1" s="1"/>
  <c r="Q30" i="4"/>
  <c r="AB30" i="1"/>
  <c r="AC30" i="1" s="1"/>
  <c r="M24" i="4"/>
  <c r="N24" i="4" s="1"/>
  <c r="Q71" i="4"/>
  <c r="AB71" i="1"/>
  <c r="AC71" i="1" s="1"/>
  <c r="Q62" i="4"/>
  <c r="AB62" i="1"/>
  <c r="AC62" i="1" s="1"/>
  <c r="Q66" i="4"/>
  <c r="AB66" i="1"/>
  <c r="AC66" i="1" s="1"/>
  <c r="Q68" i="4"/>
  <c r="AB68" i="1"/>
  <c r="AC68" i="1" s="1"/>
  <c r="P87" i="4"/>
  <c r="AB75" i="1" s="1"/>
  <c r="Q24" i="4"/>
  <c r="AB24" i="1"/>
  <c r="AC24" i="1" s="1"/>
  <c r="Q63" i="4"/>
  <c r="AB63" i="1"/>
  <c r="AC63" i="1" s="1"/>
  <c r="Q57" i="4"/>
  <c r="AB57" i="1"/>
  <c r="AC57" i="1" s="1"/>
  <c r="Q65" i="4"/>
  <c r="AB65" i="1"/>
  <c r="AC65" i="1" s="1"/>
  <c r="Q59" i="4"/>
  <c r="AB59" i="1"/>
  <c r="AC59" i="1" s="1"/>
  <c r="Q53" i="4"/>
  <c r="AB53" i="1"/>
  <c r="AC53" i="1" s="1"/>
  <c r="Q40" i="4"/>
  <c r="AB40" i="1"/>
  <c r="AC40" i="1" s="1"/>
  <c r="Q54" i="4"/>
  <c r="AB54" i="1"/>
  <c r="AC54" i="1" s="1"/>
  <c r="Q32" i="4"/>
  <c r="AB32" i="1"/>
  <c r="AC32" i="1" s="1"/>
  <c r="Q44" i="4"/>
  <c r="AB44" i="1"/>
  <c r="AC44" i="1" s="1"/>
  <c r="Q58" i="4"/>
  <c r="AB58" i="1"/>
  <c r="AC58" i="1" s="1"/>
  <c r="Q43" i="4"/>
  <c r="AB43" i="1"/>
  <c r="AC43" i="1" s="1"/>
  <c r="Q27" i="4"/>
  <c r="AB27" i="1"/>
  <c r="AC27" i="1" s="1"/>
  <c r="Q42" i="4"/>
  <c r="AB42" i="1"/>
  <c r="AC42" i="1" s="1"/>
  <c r="Q56" i="4"/>
  <c r="AB56" i="1"/>
  <c r="AC56" i="1" s="1"/>
  <c r="Q41" i="4"/>
  <c r="AB41" i="1"/>
  <c r="AC41" i="1" s="1"/>
  <c r="Q69" i="4"/>
  <c r="AB69" i="1"/>
  <c r="AC69" i="1" s="1"/>
  <c r="Q48" i="4"/>
  <c r="AB48" i="1"/>
  <c r="AC48" i="1" s="1"/>
  <c r="Q34" i="4"/>
  <c r="AB34" i="1"/>
  <c r="AC34" i="1" s="1"/>
  <c r="Q31" i="4"/>
  <c r="AB31" i="1"/>
  <c r="AC31" i="1" s="1"/>
  <c r="Q64" i="4"/>
  <c r="AB64" i="1"/>
  <c r="AC64" i="1" s="1"/>
  <c r="Q36" i="4"/>
  <c r="AB36" i="1"/>
  <c r="AC36" i="1" s="1"/>
  <c r="M24" i="1"/>
  <c r="N24" i="1" s="1"/>
  <c r="L24" i="1"/>
  <c r="H25" i="1" s="1"/>
  <c r="Q39" i="4"/>
  <c r="AB39" i="1"/>
  <c r="AC39" i="1" s="1"/>
  <c r="Q37" i="4"/>
  <c r="AB37" i="1"/>
  <c r="AC37" i="1" s="1"/>
  <c r="Q70" i="4"/>
  <c r="AB70" i="1"/>
  <c r="AC70" i="1" s="1"/>
  <c r="Q67" i="4"/>
  <c r="AB67" i="1"/>
  <c r="AC67" i="1" s="1"/>
  <c r="Q35" i="4"/>
  <c r="AB35" i="1"/>
  <c r="AC35" i="1" s="1"/>
  <c r="Q50" i="4"/>
  <c r="AB50" i="1"/>
  <c r="AC50" i="1" s="1"/>
  <c r="Q55" i="4"/>
  <c r="AB55" i="1"/>
  <c r="AC55" i="1" s="1"/>
  <c r="Q28" i="4"/>
  <c r="AB28" i="1"/>
  <c r="AC28" i="1" s="1"/>
  <c r="Q60" i="4"/>
  <c r="AB60" i="1"/>
  <c r="AC60" i="1" s="1"/>
  <c r="Q46" i="4"/>
  <c r="AB46" i="1"/>
  <c r="AC46" i="1" s="1"/>
  <c r="Q51" i="4"/>
  <c r="AB51" i="1"/>
  <c r="AC51" i="1" s="1"/>
  <c r="Q52" i="4"/>
  <c r="AB52" i="1"/>
  <c r="AC52" i="1" s="1"/>
  <c r="Q33" i="4"/>
  <c r="AB33" i="1"/>
  <c r="AC33" i="1" s="1"/>
  <c r="Q61" i="4"/>
  <c r="AB61" i="1"/>
  <c r="AC61" i="1" s="1"/>
  <c r="Q45" i="4"/>
  <c r="AB45" i="1"/>
  <c r="AC45" i="1" s="1"/>
  <c r="Q25" i="4"/>
  <c r="M25" i="4"/>
  <c r="N25" i="4" s="1"/>
  <c r="Z25" i="1" s="1"/>
  <c r="AB25" i="1"/>
  <c r="AC25" i="1" s="1"/>
  <c r="Q29" i="4"/>
  <c r="AB29" i="1"/>
  <c r="AC29" i="1" s="1"/>
  <c r="Q38" i="4"/>
  <c r="AB38" i="1"/>
  <c r="AC38" i="1" s="1"/>
  <c r="Z24" i="1" l="1"/>
  <c r="Y26" i="1"/>
  <c r="J26" i="4"/>
  <c r="O24" i="1"/>
  <c r="O24" i="4"/>
  <c r="O25" i="4"/>
  <c r="AA25" i="1" s="1"/>
  <c r="J25" i="1"/>
  <c r="AC75" i="1"/>
  <c r="AA24" i="1" l="1"/>
  <c r="I25" i="1"/>
  <c r="M25" i="1"/>
  <c r="N25" i="1" s="1"/>
  <c r="I26" i="4"/>
  <c r="L26" i="4" l="1"/>
  <c r="H27" i="4" s="1"/>
  <c r="L25" i="1"/>
  <c r="H26" i="1" s="1"/>
  <c r="O25" i="1"/>
  <c r="M26" i="4"/>
  <c r="N26" i="4" s="1"/>
  <c r="Z26" i="1" l="1"/>
  <c r="O26" i="4"/>
  <c r="J27" i="4"/>
  <c r="Y27" i="1"/>
  <c r="J26" i="1"/>
  <c r="I27" i="4" l="1"/>
  <c r="M27" i="4"/>
  <c r="N27" i="4" s="1"/>
  <c r="AA26" i="1"/>
  <c r="I26" i="1"/>
  <c r="M26" i="1"/>
  <c r="N26" i="1" s="1"/>
  <c r="L26" i="1" l="1"/>
  <c r="H27" i="1" s="1"/>
  <c r="Z27" i="1"/>
  <c r="O27" i="4"/>
  <c r="O26" i="1"/>
  <c r="L27" i="4"/>
  <c r="H28" i="4" s="1"/>
  <c r="J27" i="1" l="1"/>
  <c r="AA27" i="1"/>
  <c r="J28" i="4"/>
  <c r="Y28" i="1"/>
  <c r="I28" i="4" l="1"/>
  <c r="M28" i="4"/>
  <c r="N28" i="4" s="1"/>
  <c r="I27" i="1"/>
  <c r="M27" i="1"/>
  <c r="N27" i="1" s="1"/>
  <c r="O27" i="1" l="1"/>
  <c r="L27" i="1"/>
  <c r="H28" i="1" s="1"/>
  <c r="Z28" i="1"/>
  <c r="O28" i="4"/>
  <c r="L28" i="4"/>
  <c r="H29" i="4" s="1"/>
  <c r="AA28" i="1" l="1"/>
  <c r="J28" i="1"/>
  <c r="Y29" i="1"/>
  <c r="J29" i="4"/>
  <c r="I29" i="4" l="1"/>
  <c r="M29" i="4"/>
  <c r="N29" i="4" s="1"/>
  <c r="I28" i="1"/>
  <c r="M28" i="1"/>
  <c r="N28" i="1" s="1"/>
  <c r="L28" i="1" l="1"/>
  <c r="H29" i="1" s="1"/>
  <c r="O28" i="1"/>
  <c r="Z29" i="1"/>
  <c r="O29" i="4"/>
  <c r="L29" i="4"/>
  <c r="H30" i="4" s="1"/>
  <c r="J29" i="1" l="1"/>
  <c r="AA29" i="1"/>
  <c r="Y30" i="1"/>
  <c r="J30" i="4"/>
  <c r="I30" i="4" l="1"/>
  <c r="L30" i="4" s="1"/>
  <c r="H31" i="4" s="1"/>
  <c r="M30" i="4"/>
  <c r="N30" i="4" s="1"/>
  <c r="I29" i="1"/>
  <c r="L29" i="1" s="1"/>
  <c r="H30" i="1" s="1"/>
  <c r="M29" i="1"/>
  <c r="N29" i="1" s="1"/>
  <c r="O29" i="1" s="1"/>
  <c r="J30" i="1" l="1"/>
  <c r="Z30" i="1"/>
  <c r="O30" i="4"/>
  <c r="AA30" i="1" s="1"/>
  <c r="Y31" i="1"/>
  <c r="J31" i="4"/>
  <c r="I30" i="1" l="1"/>
  <c r="L30" i="1" s="1"/>
  <c r="H31" i="1" s="1"/>
  <c r="M30" i="1"/>
  <c r="N30" i="1" s="1"/>
  <c r="O30" i="1" s="1"/>
  <c r="I31" i="4"/>
  <c r="L31" i="4" s="1"/>
  <c r="H32" i="4" s="1"/>
  <c r="M31" i="4"/>
  <c r="N31" i="4" s="1"/>
  <c r="Z31" i="1" l="1"/>
  <c r="O31" i="4"/>
  <c r="AA31" i="1" s="1"/>
  <c r="Y32" i="1"/>
  <c r="J32" i="4"/>
  <c r="J31" i="1"/>
  <c r="I31" i="1" l="1"/>
  <c r="L31" i="1" s="1"/>
  <c r="H32" i="1" s="1"/>
  <c r="M31" i="1"/>
  <c r="N31" i="1" s="1"/>
  <c r="O31" i="1" s="1"/>
  <c r="I32" i="4"/>
  <c r="L32" i="4" s="1"/>
  <c r="H33" i="4" s="1"/>
  <c r="M32" i="4"/>
  <c r="N32" i="4" s="1"/>
  <c r="Z32" i="1" l="1"/>
  <c r="O32" i="4"/>
  <c r="AA32" i="1" s="1"/>
  <c r="J33" i="4"/>
  <c r="Y33" i="1"/>
  <c r="J32" i="1"/>
  <c r="I33" i="4" l="1"/>
  <c r="L33" i="4" s="1"/>
  <c r="H34" i="4" s="1"/>
  <c r="I32" i="1"/>
  <c r="L32" i="1" s="1"/>
  <c r="H33" i="1" s="1"/>
  <c r="M32" i="1"/>
  <c r="N32" i="1" s="1"/>
  <c r="O32" i="1" s="1"/>
  <c r="Y34" i="1" l="1"/>
  <c r="J34" i="4"/>
  <c r="J33" i="1"/>
  <c r="M33" i="4"/>
  <c r="N33" i="4" s="1"/>
  <c r="I33" i="1" l="1"/>
  <c r="L33" i="1" s="1"/>
  <c r="H34" i="1" s="1"/>
  <c r="M33" i="1"/>
  <c r="N33" i="1" s="1"/>
  <c r="O33" i="1" s="1"/>
  <c r="I34" i="4"/>
  <c r="L34" i="4" s="1"/>
  <c r="H35" i="4" s="1"/>
  <c r="M34" i="4"/>
  <c r="N34" i="4" s="1"/>
  <c r="Z33" i="1"/>
  <c r="O33" i="4"/>
  <c r="AA33" i="1" s="1"/>
  <c r="Z34" i="1" l="1"/>
  <c r="O34" i="4"/>
  <c r="AA34" i="1" s="1"/>
  <c r="J35" i="4"/>
  <c r="Y35" i="1"/>
  <c r="J34" i="1"/>
  <c r="I34" i="1" l="1"/>
  <c r="L34" i="1" s="1"/>
  <c r="H35" i="1" s="1"/>
  <c r="M34" i="1"/>
  <c r="N34" i="1" s="1"/>
  <c r="O34" i="1" s="1"/>
  <c r="I35" i="4"/>
  <c r="L35" i="4" s="1"/>
  <c r="H36" i="4" s="1"/>
  <c r="M35" i="4"/>
  <c r="N35" i="4" s="1"/>
  <c r="Z35" i="1" l="1"/>
  <c r="O35" i="4"/>
  <c r="AA35" i="1" s="1"/>
  <c r="J36" i="4"/>
  <c r="Y36" i="1"/>
  <c r="J35" i="1"/>
  <c r="I36" i="4" l="1"/>
  <c r="L36" i="4" s="1"/>
  <c r="H37" i="4" s="1"/>
  <c r="M36" i="4"/>
  <c r="N36" i="4" s="1"/>
  <c r="I35" i="1"/>
  <c r="L35" i="1" s="1"/>
  <c r="H36" i="1" s="1"/>
  <c r="M35" i="1"/>
  <c r="N35" i="1" s="1"/>
  <c r="O35" i="1" s="1"/>
  <c r="Z36" i="1" l="1"/>
  <c r="O36" i="4"/>
  <c r="AA36" i="1" s="1"/>
  <c r="J36" i="1"/>
  <c r="Y37" i="1"/>
  <c r="J37" i="4"/>
  <c r="I36" i="1" l="1"/>
  <c r="L36" i="1" s="1"/>
  <c r="H37" i="1" s="1"/>
  <c r="M36" i="1"/>
  <c r="N36" i="1" s="1"/>
  <c r="O36" i="1" s="1"/>
  <c r="I37" i="4"/>
  <c r="L37" i="4" s="1"/>
  <c r="H38" i="4" s="1"/>
  <c r="M37" i="4"/>
  <c r="N37" i="4" s="1"/>
  <c r="Z37" i="1" l="1"/>
  <c r="O37" i="4"/>
  <c r="AA37" i="1" s="1"/>
  <c r="Y38" i="1"/>
  <c r="J38" i="4"/>
  <c r="J37" i="1"/>
  <c r="I37" i="1" l="1"/>
  <c r="L37" i="1" s="1"/>
  <c r="H38" i="1" s="1"/>
  <c r="M37" i="1"/>
  <c r="N37" i="1" s="1"/>
  <c r="O37" i="1" s="1"/>
  <c r="I38" i="4"/>
  <c r="L38" i="4" s="1"/>
  <c r="H39" i="4" s="1"/>
  <c r="M38" i="4"/>
  <c r="N38" i="4" s="1"/>
  <c r="Z38" i="1" l="1"/>
  <c r="O38" i="4"/>
  <c r="AA38" i="1" s="1"/>
  <c r="J39" i="4"/>
  <c r="Y39" i="1"/>
  <c r="J38" i="1"/>
  <c r="I38" i="1" l="1"/>
  <c r="L38" i="1" s="1"/>
  <c r="H39" i="1" s="1"/>
  <c r="M38" i="1"/>
  <c r="N38" i="1" s="1"/>
  <c r="O38" i="1" s="1"/>
  <c r="I39" i="4"/>
  <c r="L39" i="4" s="1"/>
  <c r="H40" i="4" s="1"/>
  <c r="M39" i="4"/>
  <c r="N39" i="4" s="1"/>
  <c r="Z39" i="1" l="1"/>
  <c r="O39" i="4"/>
  <c r="AA39" i="1" s="1"/>
  <c r="J40" i="4"/>
  <c r="Y40" i="1"/>
  <c r="J39" i="1"/>
  <c r="I39" i="1" l="1"/>
  <c r="L39" i="1" s="1"/>
  <c r="H40" i="1" s="1"/>
  <c r="M39" i="1"/>
  <c r="N39" i="1" s="1"/>
  <c r="O39" i="1" s="1"/>
  <c r="I40" i="4"/>
  <c r="L40" i="4" s="1"/>
  <c r="H41" i="4" s="1"/>
  <c r="M40" i="4"/>
  <c r="N40" i="4" s="1"/>
  <c r="Z40" i="1" l="1"/>
  <c r="O40" i="4"/>
  <c r="AA40" i="1" s="1"/>
  <c r="J41" i="4"/>
  <c r="Y41" i="1"/>
  <c r="J40" i="1"/>
  <c r="I41" i="4" l="1"/>
  <c r="L41" i="4" s="1"/>
  <c r="H42" i="4" s="1"/>
  <c r="M41" i="4"/>
  <c r="N41" i="4" s="1"/>
  <c r="I40" i="1"/>
  <c r="L40" i="1" s="1"/>
  <c r="H41" i="1" s="1"/>
  <c r="M40" i="1"/>
  <c r="N40" i="1" s="1"/>
  <c r="O40" i="1" s="1"/>
  <c r="J41" i="1" l="1"/>
  <c r="Z41" i="1"/>
  <c r="O41" i="4"/>
  <c r="AA41" i="1" s="1"/>
  <c r="Y42" i="1"/>
  <c r="J42" i="4"/>
  <c r="I42" i="4" l="1"/>
  <c r="L42" i="4" s="1"/>
  <c r="H43" i="4" s="1"/>
  <c r="M42" i="4"/>
  <c r="N42" i="4" s="1"/>
  <c r="I41" i="1"/>
  <c r="L41" i="1" s="1"/>
  <c r="H42" i="1" s="1"/>
  <c r="M41" i="1"/>
  <c r="N41" i="1" s="1"/>
  <c r="O41" i="1" s="1"/>
  <c r="Z42" i="1" l="1"/>
  <c r="O42" i="4"/>
  <c r="AA42" i="1" s="1"/>
  <c r="J42" i="1"/>
  <c r="Y43" i="1"/>
  <c r="J43" i="4"/>
  <c r="I43" i="4" l="1"/>
  <c r="L43" i="4" s="1"/>
  <c r="H44" i="4" s="1"/>
  <c r="M43" i="4"/>
  <c r="N43" i="4" s="1"/>
  <c r="I42" i="1"/>
  <c r="L42" i="1" s="1"/>
  <c r="H43" i="1" s="1"/>
  <c r="M42" i="1"/>
  <c r="N42" i="1" s="1"/>
  <c r="O42" i="1" s="1"/>
  <c r="J43" i="1" l="1"/>
  <c r="Z43" i="1"/>
  <c r="O43" i="4"/>
  <c r="AA43" i="1" s="1"/>
  <c r="J44" i="4"/>
  <c r="Y44" i="1"/>
  <c r="I44" i="4" l="1"/>
  <c r="L44" i="4" s="1"/>
  <c r="H45" i="4" s="1"/>
  <c r="M44" i="4"/>
  <c r="N44" i="4" s="1"/>
  <c r="I43" i="1"/>
  <c r="L43" i="1" s="1"/>
  <c r="H44" i="1" s="1"/>
  <c r="M43" i="1"/>
  <c r="N43" i="1" s="1"/>
  <c r="O43" i="1" s="1"/>
  <c r="J44" i="1" l="1"/>
  <c r="Z44" i="1"/>
  <c r="O44" i="4"/>
  <c r="AA44" i="1" s="1"/>
  <c r="Y45" i="1"/>
  <c r="J45" i="4"/>
  <c r="I45" i="4" l="1"/>
  <c r="L45" i="4" s="1"/>
  <c r="H46" i="4" s="1"/>
  <c r="M45" i="4"/>
  <c r="N45" i="4" s="1"/>
  <c r="I44" i="1"/>
  <c r="L44" i="1" s="1"/>
  <c r="H45" i="1" s="1"/>
  <c r="M44" i="1"/>
  <c r="N44" i="1" s="1"/>
  <c r="O44" i="1" s="1"/>
  <c r="Z45" i="1" l="1"/>
  <c r="O45" i="4"/>
  <c r="AA45" i="1" s="1"/>
  <c r="J45" i="1"/>
  <c r="Y46" i="1"/>
  <c r="J46" i="4"/>
  <c r="I46" i="4" l="1"/>
  <c r="L46" i="4" s="1"/>
  <c r="H47" i="4" s="1"/>
  <c r="M46" i="4"/>
  <c r="N46" i="4" s="1"/>
  <c r="I45" i="1"/>
  <c r="L45" i="1" s="1"/>
  <c r="H46" i="1" s="1"/>
  <c r="M45" i="1"/>
  <c r="N45" i="1" s="1"/>
  <c r="O45" i="1" s="1"/>
  <c r="J46" i="1" l="1"/>
  <c r="Z46" i="1"/>
  <c r="O46" i="4"/>
  <c r="AA46" i="1" s="1"/>
  <c r="J47" i="4"/>
  <c r="Y47" i="1"/>
  <c r="I47" i="4" l="1"/>
  <c r="L47" i="4" s="1"/>
  <c r="H48" i="4" s="1"/>
  <c r="M47" i="4"/>
  <c r="N47" i="4" s="1"/>
  <c r="I46" i="1"/>
  <c r="L46" i="1" s="1"/>
  <c r="H47" i="1" s="1"/>
  <c r="M46" i="1"/>
  <c r="N46" i="1" s="1"/>
  <c r="O46" i="1" s="1"/>
  <c r="J47" i="1" l="1"/>
  <c r="Z47" i="1"/>
  <c r="O47" i="4"/>
  <c r="AA47" i="1" s="1"/>
  <c r="Y48" i="1"/>
  <c r="J48" i="4"/>
  <c r="I48" i="4" l="1"/>
  <c r="L48" i="4" s="1"/>
  <c r="H49" i="4" s="1"/>
  <c r="M48" i="4"/>
  <c r="N48" i="4" s="1"/>
  <c r="I47" i="1"/>
  <c r="L47" i="1" s="1"/>
  <c r="H48" i="1" s="1"/>
  <c r="M47" i="1"/>
  <c r="N47" i="1" s="1"/>
  <c r="O47" i="1" s="1"/>
  <c r="J48" i="1" l="1"/>
  <c r="Z48" i="1"/>
  <c r="O48" i="4"/>
  <c r="AA48" i="1" s="1"/>
  <c r="Y49" i="1"/>
  <c r="J49" i="4"/>
  <c r="I48" i="1" l="1"/>
  <c r="L48" i="1" s="1"/>
  <c r="H49" i="1" s="1"/>
  <c r="M48" i="1"/>
  <c r="N48" i="1" s="1"/>
  <c r="O48" i="1" s="1"/>
  <c r="I49" i="4"/>
  <c r="L49" i="4" s="1"/>
  <c r="H50" i="4" s="1"/>
  <c r="M49" i="4"/>
  <c r="N49" i="4" s="1"/>
  <c r="Y50" i="1" l="1"/>
  <c r="J50" i="4"/>
  <c r="Z49" i="1"/>
  <c r="O49" i="4"/>
  <c r="AA49" i="1" s="1"/>
  <c r="J49" i="1"/>
  <c r="I49" i="1" l="1"/>
  <c r="L49" i="1" s="1"/>
  <c r="H50" i="1" s="1"/>
  <c r="M49" i="1"/>
  <c r="N49" i="1" s="1"/>
  <c r="O49" i="1" s="1"/>
  <c r="I50" i="4"/>
  <c r="L50" i="4" s="1"/>
  <c r="H51" i="4" s="1"/>
  <c r="M50" i="4"/>
  <c r="N50" i="4" s="1"/>
  <c r="Z50" i="1" l="1"/>
  <c r="O50" i="4"/>
  <c r="AA50" i="1" s="1"/>
  <c r="Y51" i="1"/>
  <c r="J51" i="4"/>
  <c r="J50" i="1"/>
  <c r="I50" i="1" l="1"/>
  <c r="L50" i="1" s="1"/>
  <c r="H51" i="1" s="1"/>
  <c r="M50" i="1"/>
  <c r="N50" i="1" s="1"/>
  <c r="O50" i="1" s="1"/>
  <c r="I51" i="4"/>
  <c r="L51" i="4" s="1"/>
  <c r="H52" i="4" s="1"/>
  <c r="M51" i="4"/>
  <c r="N51" i="4" s="1"/>
  <c r="Z51" i="1" l="1"/>
  <c r="O51" i="4"/>
  <c r="AA51" i="1" s="1"/>
  <c r="Y52" i="1"/>
  <c r="J52" i="4"/>
  <c r="J51" i="1"/>
  <c r="I51" i="1" l="1"/>
  <c r="L51" i="1" s="1"/>
  <c r="H52" i="1" s="1"/>
  <c r="M51" i="1"/>
  <c r="N51" i="1" s="1"/>
  <c r="O51" i="1" s="1"/>
  <c r="I52" i="4"/>
  <c r="L52" i="4" s="1"/>
  <c r="H53" i="4" s="1"/>
  <c r="M52" i="4"/>
  <c r="N52" i="4" s="1"/>
  <c r="Y53" i="1" l="1"/>
  <c r="J53" i="4"/>
  <c r="Z52" i="1"/>
  <c r="O52" i="4"/>
  <c r="AA52" i="1" s="1"/>
  <c r="J52" i="1"/>
  <c r="I52" i="1" l="1"/>
  <c r="L52" i="1" s="1"/>
  <c r="H53" i="1" s="1"/>
  <c r="M52" i="1"/>
  <c r="N52" i="1" s="1"/>
  <c r="O52" i="1" s="1"/>
  <c r="I53" i="4"/>
  <c r="L53" i="4" s="1"/>
  <c r="H54" i="4" s="1"/>
  <c r="M53" i="4"/>
  <c r="N53" i="4" s="1"/>
  <c r="J54" i="4" l="1"/>
  <c r="Y54" i="1"/>
  <c r="Z53" i="1"/>
  <c r="O53" i="4"/>
  <c r="AA53" i="1" s="1"/>
  <c r="J53" i="1"/>
  <c r="I53" i="1" l="1"/>
  <c r="L53" i="1" s="1"/>
  <c r="H54" i="1" s="1"/>
  <c r="M53" i="1"/>
  <c r="N53" i="1" s="1"/>
  <c r="O53" i="1" s="1"/>
  <c r="I54" i="4"/>
  <c r="L54" i="4" s="1"/>
  <c r="H55" i="4" s="1"/>
  <c r="M54" i="4"/>
  <c r="N54" i="4" s="1"/>
  <c r="J55" i="4" l="1"/>
  <c r="Y55" i="1"/>
  <c r="Z54" i="1"/>
  <c r="O54" i="4"/>
  <c r="AA54" i="1" s="1"/>
  <c r="J54" i="1"/>
  <c r="I54" i="1" l="1"/>
  <c r="L54" i="1" s="1"/>
  <c r="H55" i="1" s="1"/>
  <c r="M54" i="1"/>
  <c r="N54" i="1" s="1"/>
  <c r="O54" i="1" s="1"/>
  <c r="I55" i="4"/>
  <c r="L55" i="4" s="1"/>
  <c r="H56" i="4" s="1"/>
  <c r="M55" i="4"/>
  <c r="N55" i="4" s="1"/>
  <c r="Y56" i="1" l="1"/>
  <c r="J56" i="4"/>
  <c r="Z55" i="1"/>
  <c r="O55" i="4"/>
  <c r="AA55" i="1" s="1"/>
  <c r="J55" i="1"/>
  <c r="I55" i="1" l="1"/>
  <c r="L55" i="1" s="1"/>
  <c r="H56" i="1" s="1"/>
  <c r="M55" i="1"/>
  <c r="N55" i="1" s="1"/>
  <c r="O55" i="1" s="1"/>
  <c r="I56" i="4"/>
  <c r="L56" i="4" s="1"/>
  <c r="H57" i="4" s="1"/>
  <c r="M56" i="4"/>
  <c r="N56" i="4" s="1"/>
  <c r="Z56" i="1" l="1"/>
  <c r="O56" i="4"/>
  <c r="AA56" i="1" s="1"/>
  <c r="Y57" i="1"/>
  <c r="J57" i="4"/>
  <c r="J56" i="1"/>
  <c r="I57" i="4" l="1"/>
  <c r="L57" i="4" s="1"/>
  <c r="H58" i="4" s="1"/>
  <c r="M57" i="4"/>
  <c r="N57" i="4" s="1"/>
  <c r="I56" i="1"/>
  <c r="L56" i="1" s="1"/>
  <c r="H57" i="1" s="1"/>
  <c r="M56" i="1"/>
  <c r="N56" i="1" s="1"/>
  <c r="O56" i="1" s="1"/>
  <c r="J57" i="1" l="1"/>
  <c r="Z57" i="1"/>
  <c r="O57" i="4"/>
  <c r="AA57" i="1" s="1"/>
  <c r="Y58" i="1"/>
  <c r="J58" i="4"/>
  <c r="I58" i="4" l="1"/>
  <c r="L58" i="4" s="1"/>
  <c r="H59" i="4" s="1"/>
  <c r="M58" i="4"/>
  <c r="N58" i="4" s="1"/>
  <c r="I57" i="1"/>
  <c r="L57" i="1" s="1"/>
  <c r="H58" i="1" s="1"/>
  <c r="M57" i="1"/>
  <c r="N57" i="1" s="1"/>
  <c r="O57" i="1" s="1"/>
  <c r="J58" i="1" l="1"/>
  <c r="Z58" i="1"/>
  <c r="O58" i="4"/>
  <c r="AA58" i="1" s="1"/>
  <c r="Y59" i="1"/>
  <c r="J59" i="4"/>
  <c r="I58" i="1" l="1"/>
  <c r="L58" i="1" s="1"/>
  <c r="H59" i="1" s="1"/>
  <c r="M58" i="1"/>
  <c r="N58" i="1" s="1"/>
  <c r="O58" i="1" s="1"/>
  <c r="I59" i="4"/>
  <c r="L59" i="4" s="1"/>
  <c r="H60" i="4" s="1"/>
  <c r="M59" i="4"/>
  <c r="N59" i="4" s="1"/>
  <c r="Z59" i="1" l="1"/>
  <c r="O59" i="4"/>
  <c r="AA59" i="1" s="1"/>
  <c r="Y60" i="1"/>
  <c r="J60" i="4"/>
  <c r="J59" i="1"/>
  <c r="I59" i="1" l="1"/>
  <c r="L59" i="1" s="1"/>
  <c r="H60" i="1" s="1"/>
  <c r="M59" i="1"/>
  <c r="N59" i="1" s="1"/>
  <c r="O59" i="1" s="1"/>
  <c r="I60" i="4"/>
  <c r="L60" i="4" s="1"/>
  <c r="H61" i="4" s="1"/>
  <c r="M60" i="4"/>
  <c r="N60" i="4" s="1"/>
  <c r="Z60" i="1" l="1"/>
  <c r="O60" i="4"/>
  <c r="AA60" i="1" s="1"/>
  <c r="Y61" i="1"/>
  <c r="J61" i="4"/>
  <c r="J60" i="1"/>
  <c r="I60" i="1" l="1"/>
  <c r="L60" i="1" s="1"/>
  <c r="H61" i="1" s="1"/>
  <c r="M60" i="1"/>
  <c r="N60" i="1" s="1"/>
  <c r="O60" i="1" s="1"/>
  <c r="I61" i="4"/>
  <c r="L61" i="4" s="1"/>
  <c r="H62" i="4" s="1"/>
  <c r="M61" i="4"/>
  <c r="N61" i="4" s="1"/>
  <c r="Z61" i="1" l="1"/>
  <c r="O61" i="4"/>
  <c r="AA61" i="1" s="1"/>
  <c r="Y62" i="1"/>
  <c r="J62" i="4"/>
  <c r="J61" i="1"/>
  <c r="I61" i="1" l="1"/>
  <c r="L61" i="1" s="1"/>
  <c r="H62" i="1" s="1"/>
  <c r="M61" i="1"/>
  <c r="N61" i="1" s="1"/>
  <c r="O61" i="1" s="1"/>
  <c r="I62" i="4"/>
  <c r="L62" i="4" s="1"/>
  <c r="H63" i="4" s="1"/>
  <c r="M62" i="4"/>
  <c r="N62" i="4" s="1"/>
  <c r="Z62" i="1" l="1"/>
  <c r="O62" i="4"/>
  <c r="AA62" i="1" s="1"/>
  <c r="Y63" i="1"/>
  <c r="J63" i="4"/>
  <c r="J62" i="1"/>
  <c r="I63" i="4" l="1"/>
  <c r="L63" i="4" s="1"/>
  <c r="H64" i="4" s="1"/>
  <c r="M63" i="4"/>
  <c r="N63" i="4" s="1"/>
  <c r="I62" i="1"/>
  <c r="L62" i="1" s="1"/>
  <c r="H63" i="1" s="1"/>
  <c r="M62" i="1"/>
  <c r="N62" i="1" s="1"/>
  <c r="O62" i="1" s="1"/>
  <c r="Z63" i="1" l="1"/>
  <c r="O63" i="4"/>
  <c r="AA63" i="1" s="1"/>
  <c r="J63" i="1"/>
  <c r="Y64" i="1"/>
  <c r="J64" i="4"/>
  <c r="I64" i="4" l="1"/>
  <c r="L64" i="4" s="1"/>
  <c r="H65" i="4" s="1"/>
  <c r="M64" i="4"/>
  <c r="N64" i="4" s="1"/>
  <c r="I63" i="1"/>
  <c r="L63" i="1" s="1"/>
  <c r="H64" i="1" s="1"/>
  <c r="M63" i="1"/>
  <c r="N63" i="1" s="1"/>
  <c r="O63" i="1" s="1"/>
  <c r="J64" i="1" l="1"/>
  <c r="Z64" i="1"/>
  <c r="O64" i="4"/>
  <c r="AA64" i="1" s="1"/>
  <c r="Y65" i="1"/>
  <c r="J65" i="4"/>
  <c r="I65" i="4" l="1"/>
  <c r="L65" i="4" s="1"/>
  <c r="H66" i="4" s="1"/>
  <c r="M65" i="4"/>
  <c r="N65" i="4" s="1"/>
  <c r="I64" i="1"/>
  <c r="L64" i="1" s="1"/>
  <c r="H65" i="1" s="1"/>
  <c r="M64" i="1"/>
  <c r="N64" i="1" s="1"/>
  <c r="O64" i="1" s="1"/>
  <c r="J65" i="1" l="1"/>
  <c r="Z65" i="1"/>
  <c r="O65" i="4"/>
  <c r="AA65" i="1" s="1"/>
  <c r="Y66" i="1"/>
  <c r="J66" i="4"/>
  <c r="I65" i="1" l="1"/>
  <c r="L65" i="1" s="1"/>
  <c r="H66" i="1" s="1"/>
  <c r="M65" i="1"/>
  <c r="N65" i="1" s="1"/>
  <c r="O65" i="1" s="1"/>
  <c r="I66" i="4"/>
  <c r="L66" i="4" s="1"/>
  <c r="H67" i="4" s="1"/>
  <c r="M66" i="4"/>
  <c r="N66" i="4" s="1"/>
  <c r="Z66" i="1" l="1"/>
  <c r="O66" i="4"/>
  <c r="AA66" i="1" s="1"/>
  <c r="Y67" i="1"/>
  <c r="J67" i="4"/>
  <c r="J66" i="1"/>
  <c r="I66" i="1" l="1"/>
  <c r="L66" i="1" s="1"/>
  <c r="H67" i="1" s="1"/>
  <c r="M66" i="1"/>
  <c r="N66" i="1" s="1"/>
  <c r="O66" i="1" s="1"/>
  <c r="I67" i="4"/>
  <c r="L67" i="4" s="1"/>
  <c r="H68" i="4" s="1"/>
  <c r="Y68" i="1" l="1"/>
  <c r="J68" i="4"/>
  <c r="M67" i="4"/>
  <c r="N67" i="4" s="1"/>
  <c r="J67" i="1"/>
  <c r="I67" i="1" l="1"/>
  <c r="L67" i="1" s="1"/>
  <c r="H68" i="1" s="1"/>
  <c r="M67" i="1"/>
  <c r="N67" i="1" s="1"/>
  <c r="O67" i="1" s="1"/>
  <c r="Z67" i="1"/>
  <c r="O67" i="4"/>
  <c r="AA67" i="1" s="1"/>
  <c r="I68" i="4"/>
  <c r="L68" i="4" s="1"/>
  <c r="H69" i="4" s="1"/>
  <c r="M68" i="4"/>
  <c r="N68" i="4" s="1"/>
  <c r="Z68" i="1" l="1"/>
  <c r="O68" i="4"/>
  <c r="AA68" i="1" s="1"/>
  <c r="Y69" i="1"/>
  <c r="J69" i="4"/>
  <c r="J68" i="1"/>
  <c r="I68" i="1" l="1"/>
  <c r="L68" i="1" s="1"/>
  <c r="H69" i="1" s="1"/>
  <c r="M68" i="1"/>
  <c r="N68" i="1" s="1"/>
  <c r="O68" i="1" s="1"/>
  <c r="I69" i="4"/>
  <c r="L69" i="4" s="1"/>
  <c r="H70" i="4" s="1"/>
  <c r="M69" i="4"/>
  <c r="N69" i="4" s="1"/>
  <c r="Z69" i="1" l="1"/>
  <c r="O69" i="4"/>
  <c r="AA69" i="1" s="1"/>
  <c r="Y70" i="1"/>
  <c r="J70" i="4"/>
  <c r="J69" i="1"/>
  <c r="I69" i="1" l="1"/>
  <c r="L69" i="1" s="1"/>
  <c r="H70" i="1" s="1"/>
  <c r="M69" i="1"/>
  <c r="N69" i="1" s="1"/>
  <c r="O69" i="1" s="1"/>
  <c r="I70" i="4"/>
  <c r="L70" i="4" s="1"/>
  <c r="H71" i="4" s="1"/>
  <c r="M70" i="4"/>
  <c r="N70" i="4" s="1"/>
  <c r="Y71" i="1" l="1"/>
  <c r="I71" i="4"/>
  <c r="Z70" i="1"/>
  <c r="O70" i="4"/>
  <c r="AA70" i="1" s="1"/>
  <c r="J70" i="1"/>
  <c r="J71" i="4" l="1"/>
  <c r="I87" i="4"/>
  <c r="I70" i="1"/>
  <c r="L70" i="1" s="1"/>
  <c r="H71" i="1" s="1"/>
  <c r="M70" i="1"/>
  <c r="N70" i="1" s="1"/>
  <c r="O70" i="1" s="1"/>
  <c r="L71" i="4"/>
  <c r="I71" i="1" l="1"/>
  <c r="M71" i="4"/>
  <c r="N71" i="4" s="1"/>
  <c r="J87" i="4"/>
  <c r="Z71" i="1" l="1"/>
  <c r="O71" i="4"/>
  <c r="N87" i="4"/>
  <c r="Z75" i="1" s="1"/>
  <c r="J71" i="1"/>
  <c r="I75" i="1"/>
  <c r="L71" i="1"/>
  <c r="M71" i="1" l="1"/>
  <c r="N71" i="1" s="1"/>
  <c r="J75" i="1"/>
  <c r="AA71" i="1"/>
  <c r="O87" i="4"/>
  <c r="AA75" i="1" s="1"/>
  <c r="O71" i="1" l="1"/>
  <c r="O75" i="1" s="1"/>
  <c r="AC20" i="1" s="1"/>
  <c r="N7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<sst xmlns="http://schemas.openxmlformats.org/spreadsheetml/2006/main" count="1597" uniqueCount="944">
  <si>
    <t>Préstamo Personal Diners / Préstamo Personal Diners Plus</t>
  </si>
  <si>
    <t>1. El Seguro de Vida Desgravamen no se devuelve si se precancela el PPD</t>
  </si>
  <si>
    <t>2. La Cuota varía según la Fecha de Desembolso</t>
  </si>
  <si>
    <t>3. El Cronograma se enviará en el 1er EECC que se cobre el PPD</t>
  </si>
  <si>
    <t>4. El Seguro de Desempleo PPD se paga en la primera cuota, mas no se financia</t>
  </si>
  <si>
    <t>VISUALIZA EL AHORRO DE LA TASA EXCLUSIVA CON SEGURO</t>
  </si>
  <si>
    <t>Fecha de desembolso</t>
  </si>
  <si>
    <t>Ciclo PPD</t>
  </si>
  <si>
    <t>Tasa Exclusiva de seguro</t>
  </si>
  <si>
    <t>TEA:</t>
  </si>
  <si>
    <t>Ingrese Importe Solicitado (S/)</t>
  </si>
  <si>
    <t>Ciclo de facturación (TC)</t>
  </si>
  <si>
    <t>TEM:</t>
  </si>
  <si>
    <t>Fecha Primera facturación</t>
  </si>
  <si>
    <t>TCEA:</t>
  </si>
  <si>
    <t>Costo del Seguro (S/):</t>
  </si>
  <si>
    <t>Dias de Gracia</t>
  </si>
  <si>
    <t>TCEM:</t>
  </si>
  <si>
    <t>Importe a financiar</t>
  </si>
  <si>
    <t>Seleecione plazo:</t>
  </si>
  <si>
    <t>ITF (0.005%) (S/):</t>
  </si>
  <si>
    <t>Plazo:</t>
  </si>
  <si>
    <t>Seguro de Desempleo PPD</t>
  </si>
  <si>
    <t>Plan 1</t>
  </si>
  <si>
    <t>Seleccione plazo diferido</t>
  </si>
  <si>
    <t>0 ciclos</t>
  </si>
  <si>
    <t>Monto a abonar (S/):</t>
  </si>
  <si>
    <t>Seguro Desempleo PPD:</t>
  </si>
  <si>
    <t>Seleecione Tipo de seguro</t>
  </si>
  <si>
    <t>Desgrav. saldo</t>
  </si>
  <si>
    <t>Ahorro de interes</t>
  </si>
  <si>
    <t>CRONOGRAMA</t>
  </si>
  <si>
    <t>Mes</t>
  </si>
  <si>
    <t>EECC</t>
  </si>
  <si>
    <t>Vencim.</t>
  </si>
  <si>
    <t>Días transcurridos</t>
  </si>
  <si>
    <t>Días Acum</t>
  </si>
  <si>
    <t>Factor</t>
  </si>
  <si>
    <t>Saldo inicial</t>
  </si>
  <si>
    <t>Amortización</t>
  </si>
  <si>
    <t>Interés</t>
  </si>
  <si>
    <t>Cuota</t>
  </si>
  <si>
    <t>Saldo final</t>
  </si>
  <si>
    <t>Ahorro</t>
  </si>
  <si>
    <t>Términos y condiciones:</t>
  </si>
  <si>
    <t>Seguro desempleo</t>
  </si>
  <si>
    <t>TEA</t>
  </si>
  <si>
    <t>TC</t>
  </si>
  <si>
    <t>PPD</t>
  </si>
  <si>
    <t>Columna1</t>
  </si>
  <si>
    <t>Columna2</t>
  </si>
  <si>
    <t>Columna3</t>
  </si>
  <si>
    <t>Columna4</t>
  </si>
  <si>
    <t>Columna5</t>
  </si>
  <si>
    <t>Columna6</t>
  </si>
  <si>
    <t>Columna7</t>
  </si>
  <si>
    <t>DIA FACT</t>
  </si>
  <si>
    <t xml:space="preserve">AÑO </t>
  </si>
  <si>
    <t xml:space="preserve">MES </t>
  </si>
  <si>
    <t>DIA  SEM PPD</t>
  </si>
  <si>
    <t>Sin Plan</t>
  </si>
  <si>
    <t>Domingo</t>
  </si>
  <si>
    <t>Jueves</t>
  </si>
  <si>
    <t>Plan 2</t>
  </si>
  <si>
    <t>Viernes</t>
  </si>
  <si>
    <t>Sabado</t>
  </si>
  <si>
    <t>Miercoles</t>
  </si>
  <si>
    <t>Desgrav. con devolución</t>
  </si>
  <si>
    <t>Endoso Externo</t>
  </si>
  <si>
    <t>Martes</t>
  </si>
  <si>
    <t>Vida Credito</t>
  </si>
  <si>
    <t>Vida Credito 2</t>
  </si>
  <si>
    <t>1 ciclo</t>
  </si>
  <si>
    <t>2 ciclos</t>
  </si>
  <si>
    <t>3 ciclos</t>
  </si>
  <si>
    <t>4 ciclos</t>
  </si>
  <si>
    <t>Lunes</t>
  </si>
  <si>
    <t>5 ciclos</t>
  </si>
  <si>
    <t>6 ciclos</t>
  </si>
  <si>
    <t>7 ciclos</t>
  </si>
  <si>
    <t>8 ciclos</t>
  </si>
  <si>
    <t>9 ciclos</t>
  </si>
  <si>
    <t>10 ciclos</t>
  </si>
  <si>
    <t>11 ciclos</t>
  </si>
  <si>
    <t>12 ciclos</t>
  </si>
  <si>
    <t>13 ciclos</t>
  </si>
  <si>
    <t>14 ciclos</t>
  </si>
  <si>
    <t>15 ciclos</t>
  </si>
  <si>
    <t>16 ciclos</t>
  </si>
  <si>
    <t>17 ciclos</t>
  </si>
  <si>
    <t>18 ciclos</t>
  </si>
  <si>
    <t>19 ciclos</t>
  </si>
  <si>
    <t>20 ciclos</t>
  </si>
  <si>
    <t>21 ciclos</t>
  </si>
  <si>
    <t>22 ciclos</t>
  </si>
  <si>
    <t>23 ciclos</t>
  </si>
  <si>
    <t>24 ciclos</t>
  </si>
  <si>
    <t>pasa a viernes</t>
  </si>
  <si>
    <t>1/9/2023</t>
  </si>
  <si>
    <t>8/9/2023</t>
  </si>
  <si>
    <t>15/9/2023</t>
  </si>
  <si>
    <t>23/9/2023</t>
  </si>
  <si>
    <t>1/10/2023</t>
  </si>
  <si>
    <t>8/10/2023</t>
  </si>
  <si>
    <t>15/10/2023</t>
  </si>
  <si>
    <t>23/10/2023</t>
  </si>
  <si>
    <t>1/11/2023</t>
  </si>
  <si>
    <t>8/11/2023</t>
  </si>
  <si>
    <t>15/11/2023</t>
  </si>
  <si>
    <t>23/11/2023</t>
  </si>
  <si>
    <t>1/12/2023</t>
  </si>
  <si>
    <t>8/12/2023</t>
  </si>
  <si>
    <t>15/12/2023</t>
  </si>
  <si>
    <t>23/12/2023</t>
  </si>
  <si>
    <t>1/1/2024</t>
  </si>
  <si>
    <t>8/1/2024</t>
  </si>
  <si>
    <t>15/1/2024</t>
  </si>
  <si>
    <t>23/1/2024</t>
  </si>
  <si>
    <t>1/2/2024</t>
  </si>
  <si>
    <t>8/2/2024</t>
  </si>
  <si>
    <t>15/2/2024</t>
  </si>
  <si>
    <t>cambio a viernes</t>
  </si>
  <si>
    <t>23/2/2024</t>
  </si>
  <si>
    <t>1/3/2024</t>
  </si>
  <si>
    <t>8/3/2024</t>
  </si>
  <si>
    <t>15/3/2024</t>
  </si>
  <si>
    <t>23/3/2024</t>
  </si>
  <si>
    <t>1/4/2024</t>
  </si>
  <si>
    <t>8/4/2024</t>
  </si>
  <si>
    <t>15/4/2024</t>
  </si>
  <si>
    <t>23/4/2024</t>
  </si>
  <si>
    <t>1/5/2024</t>
  </si>
  <si>
    <t>8/5/2024</t>
  </si>
  <si>
    <t>15/5/2024</t>
  </si>
  <si>
    <t>23/5/2024</t>
  </si>
  <si>
    <t>1/6/2024</t>
  </si>
  <si>
    <t>8/6/2024</t>
  </si>
  <si>
    <t>15/6/2024</t>
  </si>
  <si>
    <t>23/6/2024</t>
  </si>
  <si>
    <t>1/7/2024</t>
  </si>
  <si>
    <t>8/7/2024</t>
  </si>
  <si>
    <t>15/7/2024</t>
  </si>
  <si>
    <t>23/7/2024</t>
  </si>
  <si>
    <t>1/8/2024</t>
  </si>
  <si>
    <t>8/8/2024</t>
  </si>
  <si>
    <t>15/8/2024</t>
  </si>
  <si>
    <t>23/8/2024</t>
  </si>
  <si>
    <t>1/9/2024</t>
  </si>
  <si>
    <t>8/9/2024</t>
  </si>
  <si>
    <t>15/9/2024</t>
  </si>
  <si>
    <t>23/9/2024</t>
  </si>
  <si>
    <t>1/10/2024</t>
  </si>
  <si>
    <t>8/10/2024</t>
  </si>
  <si>
    <t>15/10/2024</t>
  </si>
  <si>
    <t>23/10/2024</t>
  </si>
  <si>
    <t>1/11/2024</t>
  </si>
  <si>
    <t>8/11/2024</t>
  </si>
  <si>
    <t>15/11/2024</t>
  </si>
  <si>
    <t>23/11/2024</t>
  </si>
  <si>
    <t>1/12/2024</t>
  </si>
  <si>
    <t>8/12/2024</t>
  </si>
  <si>
    <t>15/12/2024</t>
  </si>
  <si>
    <t>23/12/2024</t>
  </si>
  <si>
    <t>1/1/2025</t>
  </si>
  <si>
    <t>8/1/2025</t>
  </si>
  <si>
    <t>15/1/2025</t>
  </si>
  <si>
    <t>23/1/2025</t>
  </si>
  <si>
    <t>1/2/2025</t>
  </si>
  <si>
    <t>8/2/2025</t>
  </si>
  <si>
    <t>15/2/2025</t>
  </si>
  <si>
    <t>23/2/2025</t>
  </si>
  <si>
    <t>1/3/2025</t>
  </si>
  <si>
    <t>8/3/2025</t>
  </si>
  <si>
    <t>15/3/2025</t>
  </si>
  <si>
    <t>23/3/2025</t>
  </si>
  <si>
    <t>1/4/2025</t>
  </si>
  <si>
    <t>8/4/2025</t>
  </si>
  <si>
    <t>15/4/2025</t>
  </si>
  <si>
    <t>23/4/2025</t>
  </si>
  <si>
    <t>1/5/2025</t>
  </si>
  <si>
    <t>8/5/2025</t>
  </si>
  <si>
    <t>15/5/2025</t>
  </si>
  <si>
    <t>23/5/2025</t>
  </si>
  <si>
    <t>1/6/2025</t>
  </si>
  <si>
    <t>8/6/2025</t>
  </si>
  <si>
    <t>15/6/2025</t>
  </si>
  <si>
    <t>23/6/2025</t>
  </si>
  <si>
    <t>1/7/2025</t>
  </si>
  <si>
    <t>8/7/2025</t>
  </si>
  <si>
    <t>15/7/2025</t>
  </si>
  <si>
    <t>23/7/2025</t>
  </si>
  <si>
    <t>8/8/2025</t>
  </si>
  <si>
    <t>15/8/2025</t>
  </si>
  <si>
    <t>23/8/2025</t>
  </si>
  <si>
    <t>1/9/2025</t>
  </si>
  <si>
    <t>8/9/2025</t>
  </si>
  <si>
    <t>15/9/2025</t>
  </si>
  <si>
    <t>23/9/2025</t>
  </si>
  <si>
    <t>1/10/2025</t>
  </si>
  <si>
    <t>8/10/2025</t>
  </si>
  <si>
    <t>15/10/2025</t>
  </si>
  <si>
    <t>23/10/2025</t>
  </si>
  <si>
    <t>1/11/2025</t>
  </si>
  <si>
    <t>8/11/2025</t>
  </si>
  <si>
    <t>15/11/2025</t>
  </si>
  <si>
    <t>23/11/2025</t>
  </si>
  <si>
    <t>1/12/2025</t>
  </si>
  <si>
    <t>8/12/2025</t>
  </si>
  <si>
    <t>15/12/2025</t>
  </si>
  <si>
    <t>23/12/2025</t>
  </si>
  <si>
    <t>1/1/2026</t>
  </si>
  <si>
    <t>8/1/2026</t>
  </si>
  <si>
    <t>15/1/2026</t>
  </si>
  <si>
    <t>23/1/2026</t>
  </si>
  <si>
    <t>1/2/2026</t>
  </si>
  <si>
    <t>8/2/2026</t>
  </si>
  <si>
    <t>15/2/2026</t>
  </si>
  <si>
    <t>23/2/2026</t>
  </si>
  <si>
    <t>1/3/2026</t>
  </si>
  <si>
    <t>8/3/2026</t>
  </si>
  <si>
    <t>15/3/2026</t>
  </si>
  <si>
    <t>23/3/2026</t>
  </si>
  <si>
    <t>1/4/2026</t>
  </si>
  <si>
    <t>8/4/2026</t>
  </si>
  <si>
    <t>15/4/2026</t>
  </si>
  <si>
    <t>23/4/2026</t>
  </si>
  <si>
    <t>1/5/2026</t>
  </si>
  <si>
    <t>8/5/2026</t>
  </si>
  <si>
    <t>15/5/2026</t>
  </si>
  <si>
    <t>23/5/2026</t>
  </si>
  <si>
    <t>1/6/2026</t>
  </si>
  <si>
    <t>8/6/2026</t>
  </si>
  <si>
    <t>15/6/2026</t>
  </si>
  <si>
    <t>23/6/2026</t>
  </si>
  <si>
    <t>1/7/2026</t>
  </si>
  <si>
    <t>8/7/2026</t>
  </si>
  <si>
    <t>15/7/2026</t>
  </si>
  <si>
    <t>23/7/2026</t>
  </si>
  <si>
    <t>1/8/2026</t>
  </si>
  <si>
    <t>8/8/2026</t>
  </si>
  <si>
    <t>15/8/2026</t>
  </si>
  <si>
    <t>23/8/2026</t>
  </si>
  <si>
    <t>1/9/2026</t>
  </si>
  <si>
    <t>8/9/2026</t>
  </si>
  <si>
    <t>15/9/2026</t>
  </si>
  <si>
    <t>23/9/2026</t>
  </si>
  <si>
    <t>1/10/2026</t>
  </si>
  <si>
    <t>8/10/2026</t>
  </si>
  <si>
    <t>15/10/2026</t>
  </si>
  <si>
    <t>23/10/2026</t>
  </si>
  <si>
    <t>1/11/2026</t>
  </si>
  <si>
    <t>8/11/2026</t>
  </si>
  <si>
    <t>15/11/2026</t>
  </si>
  <si>
    <t>23/11/2026</t>
  </si>
  <si>
    <t>1/12/2026</t>
  </si>
  <si>
    <t>8/12/2026</t>
  </si>
  <si>
    <t>15/12/2026</t>
  </si>
  <si>
    <t>23/12/2026</t>
  </si>
  <si>
    <t>1/1/2027</t>
  </si>
  <si>
    <t>8/1/2027</t>
  </si>
  <si>
    <t>15/1/2027</t>
  </si>
  <si>
    <t>23/1/2027</t>
  </si>
  <si>
    <t>1/2/2027</t>
  </si>
  <si>
    <t>8/2/2027</t>
  </si>
  <si>
    <t>15/2/2027</t>
  </si>
  <si>
    <t>23/2/2027</t>
  </si>
  <si>
    <t>1/3/2027</t>
  </si>
  <si>
    <t>8/3/2027</t>
  </si>
  <si>
    <t>15/3/2027</t>
  </si>
  <si>
    <t>23/3/2027</t>
  </si>
  <si>
    <t>1/4/2027</t>
  </si>
  <si>
    <t>8/4/2027</t>
  </si>
  <si>
    <t>15/4/2027</t>
  </si>
  <si>
    <t>23/4/2027</t>
  </si>
  <si>
    <t>1/5/2027</t>
  </si>
  <si>
    <t>8/5/2027</t>
  </si>
  <si>
    <t>15/5/2027</t>
  </si>
  <si>
    <t>23/5/2027</t>
  </si>
  <si>
    <t>1/6/2027</t>
  </si>
  <si>
    <t>8/6/2027</t>
  </si>
  <si>
    <t>15/6/2027</t>
  </si>
  <si>
    <t>23/6/2027</t>
  </si>
  <si>
    <t>1/7/2027</t>
  </si>
  <si>
    <t>8/7/2027</t>
  </si>
  <si>
    <t>15/7/2027</t>
  </si>
  <si>
    <t>23/7/2027</t>
  </si>
  <si>
    <t>1/8/2027</t>
  </si>
  <si>
    <t>8/8/2027</t>
  </si>
  <si>
    <t>15/8/2027</t>
  </si>
  <si>
    <t>23/8/2027</t>
  </si>
  <si>
    <t>1/9/2027</t>
  </si>
  <si>
    <t>8/9/2027</t>
  </si>
  <si>
    <t>15/9/2027</t>
  </si>
  <si>
    <t>23/9/2027</t>
  </si>
  <si>
    <t>1/10/2027</t>
  </si>
  <si>
    <t>8/10/2027</t>
  </si>
  <si>
    <t>15/10/2027</t>
  </si>
  <si>
    <t>23/10/2027</t>
  </si>
  <si>
    <t>1/11/2027</t>
  </si>
  <si>
    <t>8/11/2027</t>
  </si>
  <si>
    <t>15/11/2027</t>
  </si>
  <si>
    <t>23/11/2027</t>
  </si>
  <si>
    <t>1/12/2027</t>
  </si>
  <si>
    <t>8/12/2027</t>
  </si>
  <si>
    <t>15/12/2027</t>
  </si>
  <si>
    <t>23/12/2027</t>
  </si>
  <si>
    <t>1/1/2028</t>
  </si>
  <si>
    <t>8/1/2028</t>
  </si>
  <si>
    <t>15/1/2028</t>
  </si>
  <si>
    <t>23/1/2028</t>
  </si>
  <si>
    <t>1/2/2028</t>
  </si>
  <si>
    <t>8/2/2028</t>
  </si>
  <si>
    <t>15/2/2028</t>
  </si>
  <si>
    <t>23/2/2028</t>
  </si>
  <si>
    <t>1/3/2028</t>
  </si>
  <si>
    <t>8/3/2028</t>
  </si>
  <si>
    <t>15/3/2028</t>
  </si>
  <si>
    <t>23/3/2028</t>
  </si>
  <si>
    <t>1/4/2028</t>
  </si>
  <si>
    <t>8/4/2028</t>
  </si>
  <si>
    <t>15/4/2028</t>
  </si>
  <si>
    <t>23/4/2028</t>
  </si>
  <si>
    <t>1/5/2028</t>
  </si>
  <si>
    <t>8/5/2028</t>
  </si>
  <si>
    <t>15/5/2028</t>
  </si>
  <si>
    <t>23/5/2028</t>
  </si>
  <si>
    <t>1/6/2028</t>
  </si>
  <si>
    <t>8/6/2028</t>
  </si>
  <si>
    <t>15/6/2028</t>
  </si>
  <si>
    <t>23/6/2028</t>
  </si>
  <si>
    <t>1/7/2028</t>
  </si>
  <si>
    <t>8/7/2028</t>
  </si>
  <si>
    <t>15/7/2028</t>
  </si>
  <si>
    <t>23/7/2028</t>
  </si>
  <si>
    <t>1/8/2028</t>
  </si>
  <si>
    <t>8/8/2028</t>
  </si>
  <si>
    <t>15/8/2028</t>
  </si>
  <si>
    <t>23/8/2028</t>
  </si>
  <si>
    <t>1/9/2028</t>
  </si>
  <si>
    <t>8/9/2028</t>
  </si>
  <si>
    <t>15/9/2028</t>
  </si>
  <si>
    <t>23/9/2028</t>
  </si>
  <si>
    <t>1/10/2028</t>
  </si>
  <si>
    <t>8/10/2028</t>
  </si>
  <si>
    <t>15/10/2028</t>
  </si>
  <si>
    <t>23/10/2028</t>
  </si>
  <si>
    <t>1/11/2028</t>
  </si>
  <si>
    <t>8/11/2028</t>
  </si>
  <si>
    <t>15/11/2028</t>
  </si>
  <si>
    <t>23/11/2028</t>
  </si>
  <si>
    <t>1/12/2028</t>
  </si>
  <si>
    <t>8/12/2028</t>
  </si>
  <si>
    <t>15/12/2028</t>
  </si>
  <si>
    <t>23/12/2028</t>
  </si>
  <si>
    <t>1/1/2029</t>
  </si>
  <si>
    <t>8/1/2029</t>
  </si>
  <si>
    <t>15/1/2029</t>
  </si>
  <si>
    <t>23/1/2029</t>
  </si>
  <si>
    <t>1/2/2029</t>
  </si>
  <si>
    <t>8/2/2029</t>
  </si>
  <si>
    <t>15/2/2029</t>
  </si>
  <si>
    <t>23/2/2029</t>
  </si>
  <si>
    <t>1/3/2029</t>
  </si>
  <si>
    <t>8/3/2029</t>
  </si>
  <si>
    <t>15/3/2029</t>
  </si>
  <si>
    <t>23/3/2029</t>
  </si>
  <si>
    <t>1/4/2029</t>
  </si>
  <si>
    <t>8/4/2029</t>
  </si>
  <si>
    <t>15/4/2029</t>
  </si>
  <si>
    <t>23/4/2029</t>
  </si>
  <si>
    <t>1/5/2029</t>
  </si>
  <si>
    <t>8/5/2029</t>
  </si>
  <si>
    <t>15/5/2029</t>
  </si>
  <si>
    <t>23/5/2029</t>
  </si>
  <si>
    <t>1/6/2029</t>
  </si>
  <si>
    <t>8/6/2029</t>
  </si>
  <si>
    <t>15/6/2029</t>
  </si>
  <si>
    <t>23/6/2029</t>
  </si>
  <si>
    <t>1/7/2029</t>
  </si>
  <si>
    <t>8/7/2029</t>
  </si>
  <si>
    <t>15/7/2029</t>
  </si>
  <si>
    <t>23/7/2029</t>
  </si>
  <si>
    <t>1/8/2029</t>
  </si>
  <si>
    <t>8/8/2029</t>
  </si>
  <si>
    <t>15/8/2029</t>
  </si>
  <si>
    <t>23/8/2029</t>
  </si>
  <si>
    <t>1/9/2029</t>
  </si>
  <si>
    <t>8/9/2029</t>
  </si>
  <si>
    <t>15/9/2029</t>
  </si>
  <si>
    <t>23/9/2029</t>
  </si>
  <si>
    <t>1/10/2029</t>
  </si>
  <si>
    <t>8/10/2029</t>
  </si>
  <si>
    <t>15/10/2029</t>
  </si>
  <si>
    <t>23/10/2029</t>
  </si>
  <si>
    <t>1/11/2029</t>
  </si>
  <si>
    <t>8/11/2029</t>
  </si>
  <si>
    <t>15/11/2029</t>
  </si>
  <si>
    <t>23/11/2029</t>
  </si>
  <si>
    <t>1/12/2029</t>
  </si>
  <si>
    <t>8/12/2029</t>
  </si>
  <si>
    <t>15/12/2029</t>
  </si>
  <si>
    <t>23/12/2029</t>
  </si>
  <si>
    <t>1/1/2030</t>
  </si>
  <si>
    <t>8/1/2030</t>
  </si>
  <si>
    <t>15/1/2030</t>
  </si>
  <si>
    <t>23/1/2030</t>
  </si>
  <si>
    <t>1/2/2030</t>
  </si>
  <si>
    <t>8/2/2030</t>
  </si>
  <si>
    <t>15/2/2030</t>
  </si>
  <si>
    <t>23/2/2030</t>
  </si>
  <si>
    <t>1/3/2030</t>
  </si>
  <si>
    <t>8/3/2030</t>
  </si>
  <si>
    <t>15/3/2030</t>
  </si>
  <si>
    <t>23/3/2030</t>
  </si>
  <si>
    <t>1/4/2030</t>
  </si>
  <si>
    <t>8/4/2030</t>
  </si>
  <si>
    <t>15/4/2030</t>
  </si>
  <si>
    <t>23/4/2030</t>
  </si>
  <si>
    <t>1/5/2030</t>
  </si>
  <si>
    <t>8/5/2030</t>
  </si>
  <si>
    <t>15/5/2030</t>
  </si>
  <si>
    <t>23/5/2030</t>
  </si>
  <si>
    <t>1/6/2030</t>
  </si>
  <si>
    <t>8/6/2030</t>
  </si>
  <si>
    <t>15/6/2030</t>
  </si>
  <si>
    <t>23/6/2030</t>
  </si>
  <si>
    <t>1/7/2030</t>
  </si>
  <si>
    <t>8/7/2030</t>
  </si>
  <si>
    <t>15/7/2030</t>
  </si>
  <si>
    <t>23/7/2030</t>
  </si>
  <si>
    <t>1/8/2030</t>
  </si>
  <si>
    <t>8/8/2030</t>
  </si>
  <si>
    <t>15/8/2030</t>
  </si>
  <si>
    <t>23/8/2030</t>
  </si>
  <si>
    <t>1/9/2030</t>
  </si>
  <si>
    <t>8/9/2030</t>
  </si>
  <si>
    <t>15/9/2030</t>
  </si>
  <si>
    <t>23/9/2030</t>
  </si>
  <si>
    <t>1/10/2030</t>
  </si>
  <si>
    <t>8/10/2030</t>
  </si>
  <si>
    <t>15/10/2030</t>
  </si>
  <si>
    <t>23/10/2030</t>
  </si>
  <si>
    <t>1/11/2030</t>
  </si>
  <si>
    <t>8/11/2030</t>
  </si>
  <si>
    <t>15/11/2030</t>
  </si>
  <si>
    <t>23/11/2030</t>
  </si>
  <si>
    <t>1/12/2030</t>
  </si>
  <si>
    <t>8/12/2030</t>
  </si>
  <si>
    <t>15/12/2030</t>
  </si>
  <si>
    <t>23/12/2030</t>
  </si>
  <si>
    <t>1/1/2031</t>
  </si>
  <si>
    <t>8/1/2031</t>
  </si>
  <si>
    <t>15/1/2031</t>
  </si>
  <si>
    <t>23/1/2031</t>
  </si>
  <si>
    <t>1/2/2031</t>
  </si>
  <si>
    <t>8/2/2031</t>
  </si>
  <si>
    <t>15/2/2031</t>
  </si>
  <si>
    <t>23/2/2031</t>
  </si>
  <si>
    <t>1/3/2031</t>
  </si>
  <si>
    <t>8/3/2031</t>
  </si>
  <si>
    <t>15/3/2031</t>
  </si>
  <si>
    <t>23/3/2031</t>
  </si>
  <si>
    <t>1/4/2031</t>
  </si>
  <si>
    <t>8/4/2031</t>
  </si>
  <si>
    <t>15/4/2031</t>
  </si>
  <si>
    <t>23/4/2031</t>
  </si>
  <si>
    <t>1/5/2031</t>
  </si>
  <si>
    <t>8/5/2031</t>
  </si>
  <si>
    <t>15/5/2031</t>
  </si>
  <si>
    <t>23/5/2031</t>
  </si>
  <si>
    <t>1/6/2031</t>
  </si>
  <si>
    <t>8/6/2031</t>
  </si>
  <si>
    <t>15/6/2031</t>
  </si>
  <si>
    <t>23/6/2031</t>
  </si>
  <si>
    <t>1/7/2031</t>
  </si>
  <si>
    <t>8/7/2031</t>
  </si>
  <si>
    <t>15/7/2031</t>
  </si>
  <si>
    <t>23/7/2031</t>
  </si>
  <si>
    <t>1/8/2031</t>
  </si>
  <si>
    <t>8/8/2031</t>
  </si>
  <si>
    <t>15/8/2031</t>
  </si>
  <si>
    <t>23/8/2031</t>
  </si>
  <si>
    <t>1/9/2031</t>
  </si>
  <si>
    <t>8/9/2031</t>
  </si>
  <si>
    <t>15/9/2031</t>
  </si>
  <si>
    <t>23/9/2031</t>
  </si>
  <si>
    <t>1/10/2031</t>
  </si>
  <si>
    <t>8/10/2031</t>
  </si>
  <si>
    <t>15/10/2031</t>
  </si>
  <si>
    <t>23/10/2031</t>
  </si>
  <si>
    <t>1/11/2031</t>
  </si>
  <si>
    <t>8/11/2031</t>
  </si>
  <si>
    <t>15/11/2031</t>
  </si>
  <si>
    <t>23/11/2031</t>
  </si>
  <si>
    <t>1/12/2031</t>
  </si>
  <si>
    <t>8/12/2031</t>
  </si>
  <si>
    <t>15/12/2031</t>
  </si>
  <si>
    <t>23/12/2031</t>
  </si>
  <si>
    <t>1/1/2032</t>
  </si>
  <si>
    <t>8/1/2032</t>
  </si>
  <si>
    <t>15/1/2032</t>
  </si>
  <si>
    <t>23/1/2032</t>
  </si>
  <si>
    <t>1/2/2032</t>
  </si>
  <si>
    <t>8/2/2032</t>
  </si>
  <si>
    <t>15/2/2032</t>
  </si>
  <si>
    <t>23/2/2032</t>
  </si>
  <si>
    <t>1/3/2032</t>
  </si>
  <si>
    <t>8/3/2032</t>
  </si>
  <si>
    <t>15/3/2032</t>
  </si>
  <si>
    <t>23/3/2032</t>
  </si>
  <si>
    <t>1/4/2032</t>
  </si>
  <si>
    <t>8/4/2032</t>
  </si>
  <si>
    <t>15/4/2032</t>
  </si>
  <si>
    <t>23/4/2032</t>
  </si>
  <si>
    <t>1/5/2032</t>
  </si>
  <si>
    <t>8/5/2032</t>
  </si>
  <si>
    <t>15/5/2032</t>
  </si>
  <si>
    <t>23/5/2032</t>
  </si>
  <si>
    <t>1/6/2032</t>
  </si>
  <si>
    <t>8/6/2032</t>
  </si>
  <si>
    <t>15/6/2032</t>
  </si>
  <si>
    <t>23/6/2032</t>
  </si>
  <si>
    <t>1/7/2032</t>
  </si>
  <si>
    <t>8/7/2032</t>
  </si>
  <si>
    <t>15/7/2032</t>
  </si>
  <si>
    <t>23/7/2032</t>
  </si>
  <si>
    <t>1/8/2032</t>
  </si>
  <si>
    <t>8/8/2032</t>
  </si>
  <si>
    <t>15/8/2032</t>
  </si>
  <si>
    <t>23/8/2032</t>
  </si>
  <si>
    <t>1/9/2032</t>
  </si>
  <si>
    <t>8/9/2032</t>
  </si>
  <si>
    <t>15/9/2032</t>
  </si>
  <si>
    <t>23/9/2032</t>
  </si>
  <si>
    <t>1/10/2032</t>
  </si>
  <si>
    <t>8/10/2032</t>
  </si>
  <si>
    <t>15/10/2032</t>
  </si>
  <si>
    <t>23/10/2032</t>
  </si>
  <si>
    <t>1/11/2032</t>
  </si>
  <si>
    <t>8/11/2032</t>
  </si>
  <si>
    <t>15/11/2032</t>
  </si>
  <si>
    <t>23/11/2032</t>
  </si>
  <si>
    <t>1/12/2032</t>
  </si>
  <si>
    <t>8/12/2032</t>
  </si>
  <si>
    <t>15/12/2032</t>
  </si>
  <si>
    <t>23/12/2032</t>
  </si>
  <si>
    <t>1/1/2033</t>
  </si>
  <si>
    <t>8/1/2033</t>
  </si>
  <si>
    <t>15/1/2033</t>
  </si>
  <si>
    <t>23/1/2033</t>
  </si>
  <si>
    <t>1/2/2033</t>
  </si>
  <si>
    <t>8/2/2033</t>
  </si>
  <si>
    <t>15/2/2033</t>
  </si>
  <si>
    <t>23/2/2033</t>
  </si>
  <si>
    <t>1/3/2033</t>
  </si>
  <si>
    <t>8/3/2033</t>
  </si>
  <si>
    <t>15/3/2033</t>
  </si>
  <si>
    <t>23/3/2033</t>
  </si>
  <si>
    <t>1/4/2033</t>
  </si>
  <si>
    <t>8/4/2033</t>
  </si>
  <si>
    <t>15/4/2033</t>
  </si>
  <si>
    <t>23/4/2033</t>
  </si>
  <si>
    <t>1/5/2033</t>
  </si>
  <si>
    <t>8/5/2033</t>
  </si>
  <si>
    <t>15/5/2033</t>
  </si>
  <si>
    <t>23/5/2033</t>
  </si>
  <si>
    <t>1/6/2033</t>
  </si>
  <si>
    <t>8/6/2033</t>
  </si>
  <si>
    <t>15/6/2033</t>
  </si>
  <si>
    <t>23/6/2033</t>
  </si>
  <si>
    <t>1/7/2033</t>
  </si>
  <si>
    <t>8/7/2033</t>
  </si>
  <si>
    <t>15/7/2033</t>
  </si>
  <si>
    <t>23/7/2033</t>
  </si>
  <si>
    <t>1/8/2033</t>
  </si>
  <si>
    <t>8/8/2033</t>
  </si>
  <si>
    <t>15/8/2033</t>
  </si>
  <si>
    <t>23/8/2033</t>
  </si>
  <si>
    <t>1/9/2033</t>
  </si>
  <si>
    <t>8/9/2033</t>
  </si>
  <si>
    <t>15/9/2033</t>
  </si>
  <si>
    <t>23/9/2033</t>
  </si>
  <si>
    <t>1/10/2033</t>
  </si>
  <si>
    <t>8/10/2033</t>
  </si>
  <si>
    <t>15/10/2033</t>
  </si>
  <si>
    <t>23/10/2033</t>
  </si>
  <si>
    <t>1/11/2033</t>
  </si>
  <si>
    <t>8/11/2033</t>
  </si>
  <si>
    <t>15/11/2033</t>
  </si>
  <si>
    <t>23/11/2033</t>
  </si>
  <si>
    <t>1/12/2033</t>
  </si>
  <si>
    <t>8/12/2033</t>
  </si>
  <si>
    <t>15/12/2033</t>
  </si>
  <si>
    <t>23/12/2033</t>
  </si>
  <si>
    <t>1/1/2034</t>
  </si>
  <si>
    <t>8/1/2034</t>
  </si>
  <si>
    <t>15/1/2034</t>
  </si>
  <si>
    <t>23/1/2034</t>
  </si>
  <si>
    <t>1/2/2034</t>
  </si>
  <si>
    <t>8/2/2034</t>
  </si>
  <si>
    <t>15/2/2034</t>
  </si>
  <si>
    <t>23/2/2034</t>
  </si>
  <si>
    <t>1/3/2034</t>
  </si>
  <si>
    <t>8/3/2034</t>
  </si>
  <si>
    <t>15/3/2034</t>
  </si>
  <si>
    <t>23/3/2034</t>
  </si>
  <si>
    <t>1/4/2034</t>
  </si>
  <si>
    <t>8/4/2034</t>
  </si>
  <si>
    <t>15/4/2034</t>
  </si>
  <si>
    <t>23/4/2034</t>
  </si>
  <si>
    <t>1/5/2034</t>
  </si>
  <si>
    <t>8/5/2034</t>
  </si>
  <si>
    <t>15/5/2034</t>
  </si>
  <si>
    <t>23/5/2034</t>
  </si>
  <si>
    <t>1/6/2034</t>
  </si>
  <si>
    <t>8/6/2034</t>
  </si>
  <si>
    <t>15/6/2034</t>
  </si>
  <si>
    <t>23/6/2034</t>
  </si>
  <si>
    <t>1/7/2034</t>
  </si>
  <si>
    <t>8/7/2034</t>
  </si>
  <si>
    <t>15/7/2034</t>
  </si>
  <si>
    <t>23/7/2034</t>
  </si>
  <si>
    <t>1/8/2034</t>
  </si>
  <si>
    <t>8/8/2034</t>
  </si>
  <si>
    <t>15/8/2034</t>
  </si>
  <si>
    <t>23/8/2034</t>
  </si>
  <si>
    <t>1/9/2034</t>
  </si>
  <si>
    <t>8/9/2034</t>
  </si>
  <si>
    <t>15/9/2034</t>
  </si>
  <si>
    <t>23/9/2034</t>
  </si>
  <si>
    <t>1/10/2034</t>
  </si>
  <si>
    <t>8/10/2034</t>
  </si>
  <si>
    <t>15/10/2034</t>
  </si>
  <si>
    <t>23/10/2034</t>
  </si>
  <si>
    <t>1/11/2034</t>
  </si>
  <si>
    <t>8/11/2034</t>
  </si>
  <si>
    <t>15/11/2034</t>
  </si>
  <si>
    <t>23/11/2034</t>
  </si>
  <si>
    <t>1/12/2034</t>
  </si>
  <si>
    <t>8/12/2034</t>
  </si>
  <si>
    <t>15/12/2034</t>
  </si>
  <si>
    <t>23/12/2034</t>
  </si>
  <si>
    <t>1/1/2035</t>
  </si>
  <si>
    <t>8/1/2035</t>
  </si>
  <si>
    <t>15/1/2035</t>
  </si>
  <si>
    <t>23/1/2035</t>
  </si>
  <si>
    <t>1/2/2035</t>
  </si>
  <si>
    <t>8/2/2035</t>
  </si>
  <si>
    <t>15/2/2035</t>
  </si>
  <si>
    <t>23/2/2035</t>
  </si>
  <si>
    <t>1/3/2035</t>
  </si>
  <si>
    <t>8/3/2035</t>
  </si>
  <si>
    <t>15/3/2035</t>
  </si>
  <si>
    <t>23/3/2035</t>
  </si>
  <si>
    <t>1/4/2035</t>
  </si>
  <si>
    <t>8/4/2035</t>
  </si>
  <si>
    <t>15/4/2035</t>
  </si>
  <si>
    <t>23/4/2035</t>
  </si>
  <si>
    <t>1/5/2035</t>
  </si>
  <si>
    <t>8/5/2035</t>
  </si>
  <si>
    <t>15/5/2035</t>
  </si>
  <si>
    <t>23/5/2035</t>
  </si>
  <si>
    <t>1/6/2035</t>
  </si>
  <si>
    <t>8/6/2035</t>
  </si>
  <si>
    <t>15/6/2035</t>
  </si>
  <si>
    <t>23/6/2035</t>
  </si>
  <si>
    <t>1/7/2035</t>
  </si>
  <si>
    <t>8/7/2035</t>
  </si>
  <si>
    <t>15/7/2035</t>
  </si>
  <si>
    <t>23/7/2035</t>
  </si>
  <si>
    <t>1/8/2035</t>
  </si>
  <si>
    <t>8/8/2035</t>
  </si>
  <si>
    <t>15/8/2035</t>
  </si>
  <si>
    <t>23/8/2035</t>
  </si>
  <si>
    <t>1/9/2035</t>
  </si>
  <si>
    <t>8/9/2035</t>
  </si>
  <si>
    <t>15/9/2035</t>
  </si>
  <si>
    <t>23/9/2035</t>
  </si>
  <si>
    <t>1/10/2035</t>
  </si>
  <si>
    <t>8/10/2035</t>
  </si>
  <si>
    <t>15/10/2035</t>
  </si>
  <si>
    <t>23/10/2035</t>
  </si>
  <si>
    <t>1/11/2035</t>
  </si>
  <si>
    <t>8/11/2035</t>
  </si>
  <si>
    <t>15/11/2035</t>
  </si>
  <si>
    <t>23/11/2035</t>
  </si>
  <si>
    <t>1/12/2035</t>
  </si>
  <si>
    <t>8/12/2035</t>
  </si>
  <si>
    <t>15/12/2035</t>
  </si>
  <si>
    <t>23/12/2035</t>
  </si>
  <si>
    <t>1/1/2036</t>
  </si>
  <si>
    <t>8/1/2036</t>
  </si>
  <si>
    <t>15/1/2036</t>
  </si>
  <si>
    <t>23/1/2036</t>
  </si>
  <si>
    <t>1/2/2036</t>
  </si>
  <si>
    <t>8/2/2036</t>
  </si>
  <si>
    <t>15/2/2036</t>
  </si>
  <si>
    <t>23/2/2036</t>
  </si>
  <si>
    <t>1/3/2036</t>
  </si>
  <si>
    <t>8/3/2036</t>
  </si>
  <si>
    <t>15/3/2036</t>
  </si>
  <si>
    <t>23/3/2036</t>
  </si>
  <si>
    <t>1/4/2036</t>
  </si>
  <si>
    <t>8/4/2036</t>
  </si>
  <si>
    <t>15/4/2036</t>
  </si>
  <si>
    <t>23/4/2036</t>
  </si>
  <si>
    <t>1/5/2036</t>
  </si>
  <si>
    <t>8/5/2036</t>
  </si>
  <si>
    <t>15/5/2036</t>
  </si>
  <si>
    <t>23/5/2036</t>
  </si>
  <si>
    <t>1/6/2036</t>
  </si>
  <si>
    <t>8/6/2036</t>
  </si>
  <si>
    <t>15/6/2036</t>
  </si>
  <si>
    <t>23/6/2036</t>
  </si>
  <si>
    <t>1/7/2036</t>
  </si>
  <si>
    <t>8/7/2036</t>
  </si>
  <si>
    <t>15/7/2036</t>
  </si>
  <si>
    <t>23/7/2036</t>
  </si>
  <si>
    <t>1/8/2036</t>
  </si>
  <si>
    <t>8/8/2036</t>
  </si>
  <si>
    <t>15/8/2036</t>
  </si>
  <si>
    <t>23/8/2036</t>
  </si>
  <si>
    <t>1/9/2036</t>
  </si>
  <si>
    <t>8/9/2036</t>
  </si>
  <si>
    <t>15/9/2036</t>
  </si>
  <si>
    <t>23/9/2036</t>
  </si>
  <si>
    <t>1/10/2036</t>
  </si>
  <si>
    <t>8/10/2036</t>
  </si>
  <si>
    <t>15/10/2036</t>
  </si>
  <si>
    <t>23/10/2036</t>
  </si>
  <si>
    <t>1/11/2036</t>
  </si>
  <si>
    <t>8/11/2036</t>
  </si>
  <si>
    <t>15/11/2036</t>
  </si>
  <si>
    <t>23/11/2036</t>
  </si>
  <si>
    <t>1/12/2036</t>
  </si>
  <si>
    <t>8/12/2036</t>
  </si>
  <si>
    <t>15/12/2036</t>
  </si>
  <si>
    <t>23/12/2036</t>
  </si>
  <si>
    <t>1/1/2037</t>
  </si>
  <si>
    <t>8/1/2037</t>
  </si>
  <si>
    <t>15/1/2037</t>
  </si>
  <si>
    <t>23/1/2037</t>
  </si>
  <si>
    <t>1/2/2037</t>
  </si>
  <si>
    <t>8/2/2037</t>
  </si>
  <si>
    <t>15/2/2037</t>
  </si>
  <si>
    <t>23/2/2037</t>
  </si>
  <si>
    <t>1/3/2037</t>
  </si>
  <si>
    <t>8/3/2037</t>
  </si>
  <si>
    <t>15/3/2037</t>
  </si>
  <si>
    <t>23/3/2037</t>
  </si>
  <si>
    <t>1/4/2037</t>
  </si>
  <si>
    <t>8/4/2037</t>
  </si>
  <si>
    <t>15/4/2037</t>
  </si>
  <si>
    <t>23/4/2037</t>
  </si>
  <si>
    <t>1/5/2037</t>
  </si>
  <si>
    <t>8/5/2037</t>
  </si>
  <si>
    <t>15/5/2037</t>
  </si>
  <si>
    <t>23/5/2037</t>
  </si>
  <si>
    <t>1/6/2037</t>
  </si>
  <si>
    <t>8/6/2037</t>
  </si>
  <si>
    <t>15/6/2037</t>
  </si>
  <si>
    <t>23/6/2037</t>
  </si>
  <si>
    <t>1/7/2037</t>
  </si>
  <si>
    <t>8/7/2037</t>
  </si>
  <si>
    <t>15/7/2037</t>
  </si>
  <si>
    <t>23/7/2037</t>
  </si>
  <si>
    <t>1/8/2037</t>
  </si>
  <si>
    <t>8/8/2037</t>
  </si>
  <si>
    <t>15/8/2037</t>
  </si>
  <si>
    <t>23/8/2037</t>
  </si>
  <si>
    <t>1/9/2037</t>
  </si>
  <si>
    <t>8/9/2037</t>
  </si>
  <si>
    <t>15/9/2037</t>
  </si>
  <si>
    <t>23/9/2037</t>
  </si>
  <si>
    <t>1/10/2037</t>
  </si>
  <si>
    <t>8/10/2037</t>
  </si>
  <si>
    <t>15/10/2037</t>
  </si>
  <si>
    <t>23/10/2037</t>
  </si>
  <si>
    <t>1/11/2037</t>
  </si>
  <si>
    <t>8/11/2037</t>
  </si>
  <si>
    <t>15/11/2037</t>
  </si>
  <si>
    <t>23/11/2037</t>
  </si>
  <si>
    <t>1/12/2037</t>
  </si>
  <si>
    <t>8/12/2037</t>
  </si>
  <si>
    <t>15/12/2037</t>
  </si>
  <si>
    <t>23/12/2037</t>
  </si>
  <si>
    <t>1/1/2038</t>
  </si>
  <si>
    <t>8/1/2038</t>
  </si>
  <si>
    <t>15/1/2038</t>
  </si>
  <si>
    <t>23/1/2038</t>
  </si>
  <si>
    <t>1/2/2038</t>
  </si>
  <si>
    <t>8/2/2038</t>
  </si>
  <si>
    <t>15/2/2038</t>
  </si>
  <si>
    <t>23/2/2038</t>
  </si>
  <si>
    <t>1/3/2038</t>
  </si>
  <si>
    <t>8/3/2038</t>
  </si>
  <si>
    <t>15/3/2038</t>
  </si>
  <si>
    <t>23/3/2038</t>
  </si>
  <si>
    <t>1/4/2038</t>
  </si>
  <si>
    <t>8/4/2038</t>
  </si>
  <si>
    <t>15/4/2038</t>
  </si>
  <si>
    <t>23/4/2038</t>
  </si>
  <si>
    <t>1/5/2038</t>
  </si>
  <si>
    <t>8/5/2038</t>
  </si>
  <si>
    <t>15/5/2038</t>
  </si>
  <si>
    <t>23/5/2038</t>
  </si>
  <si>
    <t>1/6/2038</t>
  </si>
  <si>
    <t>8/6/2038</t>
  </si>
  <si>
    <t>15/6/2038</t>
  </si>
  <si>
    <t>23/6/2038</t>
  </si>
  <si>
    <t>1/7/2038</t>
  </si>
  <si>
    <t>8/7/2038</t>
  </si>
  <si>
    <t>15/7/2038</t>
  </si>
  <si>
    <t>23/7/2038</t>
  </si>
  <si>
    <t>1/8/2038</t>
  </si>
  <si>
    <t>8/8/2038</t>
  </si>
  <si>
    <t>15/8/2038</t>
  </si>
  <si>
    <t>23/8/2038</t>
  </si>
  <si>
    <t>1/9/2038</t>
  </si>
  <si>
    <t>8/9/2038</t>
  </si>
  <si>
    <t>15/9/2038</t>
  </si>
  <si>
    <t>23/9/2038</t>
  </si>
  <si>
    <t>1/10/2038</t>
  </si>
  <si>
    <t>8/10/2038</t>
  </si>
  <si>
    <t>15/10/2038</t>
  </si>
  <si>
    <t>23/10/2038</t>
  </si>
  <si>
    <t>1/11/2038</t>
  </si>
  <si>
    <t>8/11/2038</t>
  </si>
  <si>
    <t>15/11/2038</t>
  </si>
  <si>
    <t>23/11/2038</t>
  </si>
  <si>
    <t>1/12/2038</t>
  </si>
  <si>
    <t>8/12/2038</t>
  </si>
  <si>
    <t>15/12/2038</t>
  </si>
  <si>
    <t>23/12/2038</t>
  </si>
  <si>
    <t>1/1/2039</t>
  </si>
  <si>
    <t>8/1/2039</t>
  </si>
  <si>
    <t>15/1/2039</t>
  </si>
  <si>
    <t>23/1/2039</t>
  </si>
  <si>
    <t>1/2/2039</t>
  </si>
  <si>
    <t>8/2/2039</t>
  </si>
  <si>
    <t>15/2/2039</t>
  </si>
  <si>
    <t>23/2/2039</t>
  </si>
  <si>
    <t>1/3/2039</t>
  </si>
  <si>
    <t>8/3/2039</t>
  </si>
  <si>
    <t>15/3/2039</t>
  </si>
  <si>
    <t>23/3/2039</t>
  </si>
  <si>
    <t>1/4/2039</t>
  </si>
  <si>
    <t>8/4/2039</t>
  </si>
  <si>
    <t>15/4/2039</t>
  </si>
  <si>
    <t>23/4/2039</t>
  </si>
  <si>
    <t>1/5/2039</t>
  </si>
  <si>
    <t>8/5/2039</t>
  </si>
  <si>
    <t>15/5/2039</t>
  </si>
  <si>
    <t>23/5/2039</t>
  </si>
  <si>
    <t>1/6/2039</t>
  </si>
  <si>
    <t>8/6/2039</t>
  </si>
  <si>
    <t>15/6/2039</t>
  </si>
  <si>
    <t>23/6/2039</t>
  </si>
  <si>
    <t>1/7/2039</t>
  </si>
  <si>
    <t>8/7/2039</t>
  </si>
  <si>
    <t>15/7/2039</t>
  </si>
  <si>
    <t>23/7/2039</t>
  </si>
  <si>
    <t>1/8/2039</t>
  </si>
  <si>
    <t>8/8/2039</t>
  </si>
  <si>
    <t>15/8/2039</t>
  </si>
  <si>
    <t>23/8/2039</t>
  </si>
  <si>
    <t>1/9/2039</t>
  </si>
  <si>
    <t>8/9/2039</t>
  </si>
  <si>
    <t>15/9/2039</t>
  </si>
  <si>
    <t>23/9/2039</t>
  </si>
  <si>
    <t>1/10/2039</t>
  </si>
  <si>
    <t>8/10/2039</t>
  </si>
  <si>
    <t>15/10/2039</t>
  </si>
  <si>
    <t>23/10/2039</t>
  </si>
  <si>
    <t>1/11/2039</t>
  </si>
  <si>
    <t>8/11/2039</t>
  </si>
  <si>
    <t>15/11/2039</t>
  </si>
  <si>
    <t>23/11/2039</t>
  </si>
  <si>
    <t>1/12/2039</t>
  </si>
  <si>
    <t>8/12/2039</t>
  </si>
  <si>
    <t>15/12/2039</t>
  </si>
  <si>
    <t>23/12/2039</t>
  </si>
  <si>
    <t>1/1/2040</t>
  </si>
  <si>
    <t>8/1/2040</t>
  </si>
  <si>
    <t>15/1/2040</t>
  </si>
  <si>
    <t>23/1/2040</t>
  </si>
  <si>
    <t>1/2/2040</t>
  </si>
  <si>
    <t>8/2/2040</t>
  </si>
  <si>
    <t>15/2/2040</t>
  </si>
  <si>
    <t>23/2/2040</t>
  </si>
  <si>
    <t>1/3/2040</t>
  </si>
  <si>
    <t>8/3/2040</t>
  </si>
  <si>
    <t>15/3/2040</t>
  </si>
  <si>
    <t>23/3/2040</t>
  </si>
  <si>
    <t>1/4/2040</t>
  </si>
  <si>
    <t>8/4/2040</t>
  </si>
  <si>
    <t>15/4/2040</t>
  </si>
  <si>
    <t>23/4/2040</t>
  </si>
  <si>
    <t>1/5/2040</t>
  </si>
  <si>
    <t>8/5/2040</t>
  </si>
  <si>
    <t>15/5/2040</t>
  </si>
  <si>
    <t>23/5/2040</t>
  </si>
  <si>
    <t>1/6/2040</t>
  </si>
  <si>
    <t>8/6/2040</t>
  </si>
  <si>
    <t>15/6/2040</t>
  </si>
  <si>
    <t>23/6/2040</t>
  </si>
  <si>
    <t>1/7/2040</t>
  </si>
  <si>
    <t>8/7/2040</t>
  </si>
  <si>
    <t>15/7/2040</t>
  </si>
  <si>
    <t>23/7/2040</t>
  </si>
  <si>
    <t>1/8/2040</t>
  </si>
  <si>
    <t>8/8/2040</t>
  </si>
  <si>
    <t>15/8/2040</t>
  </si>
  <si>
    <t>23/8/2040</t>
  </si>
  <si>
    <t>1/9/2040</t>
  </si>
  <si>
    <t>8/9/2040</t>
  </si>
  <si>
    <t>15/9/2040</t>
  </si>
  <si>
    <t>23/9/2040</t>
  </si>
  <si>
    <t>1/10/2040</t>
  </si>
  <si>
    <t>8/10/2040</t>
  </si>
  <si>
    <t>15/10/2040</t>
  </si>
  <si>
    <t>23/10/2040</t>
  </si>
  <si>
    <t>1/11/2040</t>
  </si>
  <si>
    <t>8/11/2040</t>
  </si>
  <si>
    <t>15/11/2040</t>
  </si>
  <si>
    <t>23/11/2040</t>
  </si>
  <si>
    <t>1/12/2040</t>
  </si>
  <si>
    <t>8/12/2040</t>
  </si>
  <si>
    <t>15/12/2040</t>
  </si>
  <si>
    <t>23/12/2040</t>
  </si>
  <si>
    <t>tipo de seguro</t>
  </si>
  <si>
    <t>Tasa descuento</t>
  </si>
  <si>
    <t>Costo de seguro</t>
  </si>
  <si>
    <t>Importe Solicitado (S/)</t>
  </si>
  <si>
    <t>&lt;- (CRM)</t>
  </si>
  <si>
    <t>Seguro Vida Desgravamen:</t>
  </si>
  <si>
    <t>Plazo diferido</t>
  </si>
  <si>
    <t>&lt;- (Socio)</t>
  </si>
  <si>
    <t>Tipo de seguro</t>
  </si>
  <si>
    <t>Días</t>
  </si>
  <si>
    <t>Desgravamen mensual</t>
  </si>
  <si>
    <t>Desgravamen Total</t>
  </si>
  <si>
    <t>Desgravamen mensual VPN</t>
  </si>
  <si>
    <t>DATOS // El Seguro de Vida Desgravamen no se devuelve si se precancela el PPD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</si>
</sst>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S/&quot;* #,##0.00_-;\-&quot;S/&quot;* #,##0.00_-;_-&quot;S/&quot;* &quot;-&quot;??_-;_-@_-"/>
    <numFmt numFmtId="165" formatCode="0.000000000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%"/>
    <numFmt numFmtId="170" formatCode="_ &quot;S/.&quot;\ * #,##0.00_ ;_ &quot;S/.&quot;\ * \-#,##0.00_ ;_ &quot;S/.&quot;\ * &quot;-&quot;??_ ;_ @_ "/>
  </numFmts>
  <fonts count="69">
    <font>
      <sz val="11"/>
      <color theme="1"/>
      <name val="Calibri"/>
    </font>
    <font>
      <sz val="10"/>
      <name val="Arial"/>
    </font>
    <font>
      <sz val="8"/>
      <name val="Calibri"/>
    </font>
    <font>
      <b/>
      <sz val="8"/>
      <name val="Calibri"/>
    </font>
    <font>
      <sz val="8"/>
      <color theme="0"/>
      <name val="Calibri"/>
    </font>
    <font>
      <b/>
      <sz val="12"/>
      <name val="Calibri"/>
    </font>
    <font>
      <b/>
      <sz val="12"/>
      <color theme="0"/>
      <name val="Calibri"/>
    </font>
    <font>
      <sz val="12"/>
      <name val="Calibri"/>
    </font>
    <font>
      <b/>
      <sz val="8"/>
      <color theme="0"/>
      <name val="Calibri"/>
    </font>
    <font>
      <b/>
      <sz val="8"/>
      <color rgb="FFFF0000"/>
      <name val="Calibri"/>
    </font>
    <font>
      <sz val="10"/>
      <name val="BERNHARD"/>
    </font>
    <font>
      <sz val="10"/>
      <name val="Helv"/>
    </font>
    <font>
      <sz val="6"/>
      <color indexed="14"/>
      <name val="CG Times (E1)"/>
    </font>
    <font>
      <sz val="6"/>
      <name val="CG Times (E1)"/>
    </font>
    <font>
      <sz val="8"/>
      <name val="Helv"/>
    </font>
    <font>
      <b/>
      <sz val="10"/>
      <color theme="1"/>
      <name val="Calibri"/>
    </font>
    <font>
      <sz val="10"/>
      <color theme="1"/>
      <name val="Calibri"/>
    </font>
    <font>
      <b/>
      <sz val="10"/>
      <color theme="0"/>
      <name val="Calibri"/>
    </font>
    <font>
      <b/>
      <sz val="10"/>
      <name val="Calibri"/>
    </font>
    <font>
      <sz val="10"/>
      <color theme="0"/>
      <name val="Calibri"/>
    </font>
    <font>
      <sz val="10"/>
      <name val="Calibri"/>
    </font>
    <font>
      <b/>
      <sz val="10"/>
      <color theme="2" tint="-0.89992980742820516"/>
      <name val="Calibri"/>
    </font>
    <font>
      <b/>
      <sz val="11"/>
      <color theme="0"/>
      <name val="Calibri"/>
    </font>
    <font>
      <sz val="10"/>
      <color theme="1"/>
      <name val="Calibri"/>
    </font>
    <font>
      <b/>
      <sz val="10"/>
      <color theme="0"/>
      <name val="Calibri"/>
    </font>
    <font>
      <b/>
      <sz val="10"/>
      <color rgb="FFFF0000"/>
      <name val="Calibri"/>
    </font>
    <font>
      <b/>
      <i/>
      <sz val="10"/>
      <color rgb="FFFF0000"/>
      <name val="Calibri"/>
    </font>
    <font>
      <sz val="8"/>
      <color rgb="FFFF0000"/>
      <name val="Calibri"/>
    </font>
    <font>
      <sz val="8"/>
      <color theme="9" tint="-0.24994659260841701"/>
      <name val="Calibri"/>
    </font>
    <font>
      <b/>
      <sz val="12"/>
      <color theme="9" tint="-0.24994659260841701"/>
      <name val="Calibri"/>
    </font>
    <font>
      <sz val="12"/>
      <color theme="9" tint="-0.24994659260841701"/>
      <name val="Calibri"/>
    </font>
    <font>
      <b/>
      <sz val="8"/>
      <color theme="9" tint="-0.24994659260841701"/>
      <name val="Calibri"/>
    </font>
    <font>
      <sz val="11"/>
      <color theme="9" tint="-0.24994659260841701"/>
      <name val="Calibri"/>
    </font>
    <font>
      <sz val="8"/>
      <name val="Century Gothic"/>
    </font>
    <font>
      <sz val="8"/>
      <color theme="9" tint="-0.24994659260841701"/>
      <name val="Century Gothic"/>
    </font>
    <font>
      <b/>
      <sz val="12"/>
      <name val="Century Gothic"/>
    </font>
    <font>
      <b/>
      <sz val="10"/>
      <color theme="0"/>
      <name val="Century Gothic"/>
    </font>
    <font>
      <b/>
      <sz val="8"/>
      <name val="Century Gothic"/>
    </font>
    <font>
      <sz val="9"/>
      <name val="Century Gothic"/>
    </font>
    <font>
      <b/>
      <sz val="9"/>
      <name val="Century Gothic"/>
    </font>
    <font>
      <sz val="9"/>
      <color theme="9" tint="-0.24994659260841701"/>
      <name val="Century Gothic"/>
    </font>
    <font>
      <b/>
      <sz val="9"/>
      <color theme="1"/>
      <name val="Century Gothic"/>
    </font>
    <font>
      <b/>
      <sz val="9"/>
      <color rgb="FFFF0000"/>
      <name val="Century Gothic"/>
    </font>
    <font>
      <b/>
      <i/>
      <sz val="9"/>
      <color rgb="FFFF0000"/>
      <name val="Century Gothic"/>
    </font>
    <font>
      <b/>
      <sz val="9"/>
      <color theme="0"/>
      <name val="Century Gothic"/>
    </font>
    <font>
      <sz val="9"/>
      <color rgb="FFFF0000"/>
      <name val="Century Gothic"/>
    </font>
    <font>
      <sz val="9"/>
      <color theme="0"/>
      <name val="Century Gothic"/>
    </font>
    <font>
      <sz val="9"/>
      <color theme="1"/>
      <name val="Century Gothic"/>
    </font>
    <font>
      <b/>
      <sz val="9"/>
      <color theme="2" tint="-0.89992980742820516"/>
      <name val="Century Gothic"/>
    </font>
    <font>
      <sz val="10"/>
      <color rgb="FFFF0000"/>
      <name val="Calibri"/>
    </font>
    <font>
      <sz val="8"/>
      <color rgb="FFFF0000"/>
      <name val="Century Gothic"/>
    </font>
    <font>
      <b/>
      <sz val="8"/>
      <color rgb="FFFF0000"/>
      <name val="Century Gothic"/>
    </font>
    <font>
      <sz val="11"/>
      <name val="Calibri"/>
    </font>
    <font>
      <sz val="7"/>
      <name val="Century Gothic"/>
    </font>
    <font>
      <sz val="7"/>
      <color rgb="FFFF0000"/>
      <name val="Century Gothic"/>
    </font>
    <font>
      <sz val="7"/>
      <color theme="9" tint="-0.24994659260841701"/>
      <name val="Century Gothic"/>
    </font>
    <font>
      <b/>
      <sz val="7"/>
      <name val="Century Gothic"/>
    </font>
    <font>
      <b/>
      <sz val="7"/>
      <color theme="1"/>
      <name val="Century Gothic"/>
    </font>
    <font>
      <b/>
      <sz val="7"/>
      <color rgb="FFFF0000"/>
      <name val="Century Gothic"/>
    </font>
    <font>
      <b/>
      <i/>
      <sz val="7"/>
      <color rgb="FFFF0000"/>
      <name val="Century Gothic"/>
    </font>
    <font>
      <b/>
      <sz val="7"/>
      <color theme="0"/>
      <name val="Century Gothic"/>
    </font>
    <font>
      <sz val="7"/>
      <color theme="1"/>
      <name val="Century Gothic"/>
    </font>
    <font>
      <sz val="7"/>
      <color theme="0"/>
      <name val="Century Gothic"/>
    </font>
    <font>
      <b/>
      <sz val="7"/>
      <color rgb="FFC00000"/>
      <name val="Century Gothic"/>
    </font>
    <font>
      <b/>
      <sz val="7"/>
      <color rgb="FF0070C0"/>
      <name val="Century Gothic"/>
    </font>
    <font>
      <i/>
      <sz val="7"/>
      <color theme="1"/>
      <name val="Century Gothic"/>
    </font>
    <font>
      <b/>
      <sz val="11"/>
      <name val="Century Gothic"/>
    </font>
    <font>
      <sz val="7"/>
      <color rgb="FF000000"/>
      <name val="Century Gothic"/>
    </font>
    <font>
      <sz val="11"/>
      <color theme="1"/>
      <name val="Calibri"/>
    </font>
  </fonts>
  <fills count="18">
    <fill>
      <patternFill patternType="none"/>
    </fill>
    <fill>
      <patternFill patternType="gray125"/>
    </fill>
    <fill>
      <patternFill patternType="solid">
        <fgColor theme="4" tint="-0.49992370372631001"/>
        <bgColor indexed="65"/>
      </patternFill>
    </fill>
    <fill>
      <patternFill patternType="solid">
        <fgColor theme="4" tint="0.79992065187536243"/>
        <bgColor indexed="65"/>
      </patternFill>
    </fill>
    <fill>
      <patternFill patternType="solid">
        <fgColor theme="0"/>
      </patternFill>
    </fill>
    <fill>
      <patternFill patternType="solid">
        <fgColor rgb="FFFFFF00"/>
      </patternFill>
    </fill>
    <fill>
      <patternFill patternType="solid">
        <fgColor theme="3" tint="0.79992065187536243"/>
        <bgColor indexed="65"/>
      </patternFill>
    </fill>
    <fill>
      <patternFill patternType="solid">
        <fgColor theme="4"/>
      </patternFill>
    </fill>
    <fill>
      <patternFill patternType="solid">
        <fgColor theme="3" tint="0.39997558519241921"/>
        <bgColor indexed="65"/>
      </patternFill>
    </fill>
    <fill>
      <patternFill patternType="solid">
        <fgColor rgb="FFFFC000"/>
      </patternFill>
    </fill>
    <fill>
      <patternFill patternType="solid">
        <fgColor rgb="FFEAEAEA"/>
      </patternFill>
    </fill>
    <fill>
      <patternFill patternType="solid">
        <fgColor indexed="62"/>
      </patternFill>
    </fill>
    <fill>
      <patternFill patternType="solid">
        <fgColor rgb="FF0070C0"/>
      </patternFill>
    </fill>
    <fill>
      <patternFill patternType="solid">
        <fgColor rgb="FF00B050"/>
      </patternFill>
    </fill>
    <fill>
      <patternFill patternType="solid">
        <fgColor theme="4" tint="0.79992065187536243"/>
        <bgColor indexed="65"/>
      </patternFill>
    </fill>
    <fill>
      <patternFill patternType="solid">
        <fgColor rgb="FFC00000"/>
      </patternFill>
    </fill>
    <fill>
      <patternFill patternType="solid">
        <fgColor theme="5" tint="0.79992065187536243"/>
        <bgColor indexed="65"/>
      </patternFill>
    </fill>
    <fill>
      <patternFill patternType="solid">
        <fgColor theme="0" tint="-0.14999847407452621"/>
        <bgColor indexed="65"/>
      </patternFill>
    </fill>
  </fills>
  <borders count="49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0"/>
      </left>
      <right style="medium">
        <color auto="1"/>
      </right>
      <top style="medium">
        <color auto="1"/>
      </top>
      <bottom style="medium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theme="0"/>
      </bottom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7" fontId="12" fillId="0" borderId="0"/>
    <xf numFmtId="0" fontId="13" fillId="0" borderId="0">
      <alignment horizontal="left"/>
    </xf>
    <xf numFmtId="168" fontId="1" fillId="0" borderId="0" applyFont="0" applyFill="0" applyBorder="0" applyAlignment="0" applyProtection="0"/>
    <xf numFmtId="0" fontId="6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4" fillId="0" borderId="0"/>
    <xf numFmtId="164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170" fontId="68" fillId="0" borderId="0" applyFont="0" applyFill="0" applyBorder="0" applyAlignment="0" applyProtection="0"/>
  </cellStyleXfs>
  <cellXfs count="411">
    <xf numFmtId="0" fontId="0" fillId="0" borderId="0" xfId="0"/>
    <xf numFmtId="10" fontId="17" fillId="2" borderId="0" xfId="2" applyNumberFormat="1" applyFont="1" applyFill="1" applyBorder="1" applyAlignment="1">
      <alignment horizontal="center" vertical="center"/>
    </xf>
    <xf numFmtId="1" fontId="17" fillId="2" borderId="0" xfId="0" applyNumberFormat="1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0" fontId="0" fillId="3" borderId="2" xfId="20" applyNumberFormat="1" applyFont="1" applyFill="1" applyBorder="1" applyAlignment="1">
      <alignment horizontal="center" vertical="center"/>
    </xf>
    <xf numFmtId="14" fontId="17" fillId="2" borderId="0" xfId="19" applyNumberFormat="1" applyFont="1" applyFill="1" applyBorder="1" applyAlignment="1">
      <alignment horizontal="center" vertical="center"/>
    </xf>
    <xf numFmtId="3" fontId="17" fillId="2" borderId="0" xfId="19" applyNumberFormat="1" applyFont="1" applyFill="1" applyBorder="1" applyAlignment="1">
      <alignment horizontal="center" vertical="center"/>
    </xf>
    <xf numFmtId="0" fontId="2" fillId="0" borderId="0" xfId="1" applyFont="1"/>
    <xf numFmtId="0" fontId="18" fillId="0" borderId="0" xfId="0" applyFont="1" applyAlignment="1">
      <alignment horizont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4" borderId="0" xfId="0" applyFont="1" applyFill="1" applyAlignment="1">
      <alignment vertical="center"/>
    </xf>
    <xf numFmtId="0" fontId="15" fillId="0" borderId="0" xfId="0" applyFont="1" applyAlignment="1">
      <alignment horizontal="center" vertical="center"/>
    </xf>
    <xf numFmtId="0" fontId="7" fillId="0" borderId="0" xfId="1" applyFont="1"/>
    <xf numFmtId="0" fontId="6" fillId="0" borderId="0" xfId="1" applyFont="1" applyAlignment="1">
      <alignment horizontal="center"/>
    </xf>
    <xf numFmtId="0" fontId="2" fillId="0" borderId="3" xfId="1" applyFont="1" applyBorder="1"/>
    <xf numFmtId="0" fontId="3" fillId="0" borderId="0" xfId="1" applyFont="1"/>
    <xf numFmtId="14" fontId="9" fillId="0" borderId="0" xfId="1" applyNumberFormat="1" applyFont="1"/>
    <xf numFmtId="0" fontId="2" fillId="0" borderId="4" xfId="1" applyFont="1" applyBorder="1"/>
    <xf numFmtId="0" fontId="18" fillId="0" borderId="3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8" fillId="0" borderId="0" xfId="0" applyFont="1"/>
    <xf numFmtId="0" fontId="4" fillId="0" borderId="4" xfId="1" applyFont="1" applyBorder="1" applyAlignment="1">
      <alignment horizontal="center"/>
    </xf>
    <xf numFmtId="10" fontId="16" fillId="0" borderId="0" xfId="2" applyNumberFormat="1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4" fontId="19" fillId="0" borderId="0" xfId="19" applyNumberFormat="1" applyFont="1" applyBorder="1" applyAlignment="1">
      <alignment horizontal="center" vertical="center"/>
    </xf>
    <xf numFmtId="4" fontId="16" fillId="0" borderId="0" xfId="19" applyNumberFormat="1" applyFont="1" applyBorder="1" applyAlignment="1">
      <alignment horizontal="center" vertical="center"/>
    </xf>
    <xf numFmtId="0" fontId="8" fillId="0" borderId="0" xfId="1" applyFont="1"/>
    <xf numFmtId="0" fontId="17" fillId="0" borderId="3" xfId="0" applyFont="1" applyBorder="1" applyAlignment="1">
      <alignment horizontal="right" vertical="center"/>
    </xf>
    <xf numFmtId="0" fontId="2" fillId="0" borderId="0" xfId="1" applyFont="1" applyAlignment="1">
      <alignment horizontal="right"/>
    </xf>
    <xf numFmtId="3" fontId="15" fillId="5" borderId="0" xfId="19" applyNumberFormat="1" applyFont="1" applyFill="1" applyBorder="1" applyAlignment="1">
      <alignment horizontal="center" vertical="center"/>
    </xf>
    <xf numFmtId="0" fontId="9" fillId="0" borderId="0" xfId="1" applyFont="1"/>
    <xf numFmtId="0" fontId="15" fillId="0" borderId="3" xfId="0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4" fontId="15" fillId="0" borderId="0" xfId="19" applyNumberFormat="1" applyFont="1" applyBorder="1" applyAlignment="1">
      <alignment horizontal="center" vertical="center"/>
    </xf>
    <xf numFmtId="3" fontId="18" fillId="0" borderId="0" xfId="0" applyNumberFormat="1" applyFont="1"/>
    <xf numFmtId="169" fontId="20" fillId="0" borderId="5" xfId="2" applyNumberFormat="1" applyFont="1" applyBorder="1" applyAlignment="1">
      <alignment horizontal="center" vertical="center"/>
    </xf>
    <xf numFmtId="0" fontId="20" fillId="6" borderId="6" xfId="0" applyFont="1" applyFill="1" applyBorder="1" applyAlignment="1">
      <alignment horizontal="center" vertical="center" wrapText="1"/>
    </xf>
    <xf numFmtId="2" fontId="20" fillId="0" borderId="7" xfId="0" applyNumberFormat="1" applyFont="1" applyBorder="1" applyAlignment="1">
      <alignment horizontal="center" vertical="center"/>
    </xf>
    <xf numFmtId="4" fontId="2" fillId="0" borderId="4" xfId="1" applyNumberFormat="1" applyFont="1" applyBorder="1"/>
    <xf numFmtId="0" fontId="0" fillId="0" borderId="3" xfId="0" applyBorder="1"/>
    <xf numFmtId="0" fontId="0" fillId="0" borderId="4" xfId="0" applyBorder="1"/>
    <xf numFmtId="1" fontId="17" fillId="2" borderId="8" xfId="0" applyNumberFormat="1" applyFont="1" applyFill="1" applyBorder="1" applyAlignment="1">
      <alignment horizontal="center" vertical="center"/>
    </xf>
    <xf numFmtId="1" fontId="17" fillId="2" borderId="9" xfId="0" applyNumberFormat="1" applyFont="1" applyFill="1" applyBorder="1" applyAlignment="1">
      <alignment horizontal="center" vertical="center"/>
    </xf>
    <xf numFmtId="1" fontId="17" fillId="2" borderId="5" xfId="0" applyNumberFormat="1" applyFont="1" applyFill="1" applyBorder="1" applyAlignment="1">
      <alignment horizontal="center" vertical="center"/>
    </xf>
    <xf numFmtId="1" fontId="17" fillId="2" borderId="10" xfId="0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3" fontId="3" fillId="0" borderId="13" xfId="1" applyNumberFormat="1" applyFont="1" applyBorder="1" applyAlignment="1">
      <alignment horizontal="center"/>
    </xf>
    <xf numFmtId="4" fontId="3" fillId="0" borderId="13" xfId="1" applyNumberFormat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14" fontId="2" fillId="0" borderId="9" xfId="1" applyNumberFormat="1" applyFont="1" applyBorder="1" applyAlignment="1">
      <alignment horizontal="center"/>
    </xf>
    <xf numFmtId="3" fontId="3" fillId="0" borderId="9" xfId="1" applyNumberFormat="1" applyFont="1" applyBorder="1" applyAlignment="1">
      <alignment horizontal="center"/>
    </xf>
    <xf numFmtId="3" fontId="2" fillId="0" borderId="9" xfId="1" applyNumberFormat="1" applyFont="1" applyBorder="1" applyAlignment="1">
      <alignment horizontal="center"/>
    </xf>
    <xf numFmtId="165" fontId="2" fillId="0" borderId="9" xfId="1" applyNumberFormat="1" applyFont="1" applyBorder="1" applyAlignment="1">
      <alignment horizontal="center"/>
    </xf>
    <xf numFmtId="4" fontId="2" fillId="0" borderId="9" xfId="1" applyNumberFormat="1" applyFont="1" applyBorder="1" applyAlignment="1">
      <alignment horizontal="center"/>
    </xf>
    <xf numFmtId="4" fontId="2" fillId="0" borderId="5" xfId="1" applyNumberFormat="1" applyFont="1" applyBorder="1" applyAlignment="1">
      <alignment horizontal="center"/>
    </xf>
    <xf numFmtId="4" fontId="2" fillId="0" borderId="0" xfId="1" applyNumberFormat="1" applyFont="1" applyAlignment="1">
      <alignment horizontal="center"/>
    </xf>
    <xf numFmtId="4" fontId="2" fillId="0" borderId="8" xfId="1" applyNumberFormat="1" applyFont="1" applyBorder="1" applyAlignment="1">
      <alignment horizontal="center"/>
    </xf>
    <xf numFmtId="4" fontId="2" fillId="0" borderId="10" xfId="1" applyNumberFormat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2" fillId="0" borderId="16" xfId="1" applyNumberFormat="1" applyFont="1" applyBorder="1" applyAlignment="1">
      <alignment horizontal="center"/>
    </xf>
    <xf numFmtId="4" fontId="2" fillId="0" borderId="16" xfId="1" applyNumberFormat="1" applyFont="1" applyBorder="1" applyAlignment="1">
      <alignment horizontal="center"/>
    </xf>
    <xf numFmtId="4" fontId="2" fillId="0" borderId="17" xfId="1" applyNumberFormat="1" applyFont="1" applyBorder="1" applyAlignment="1">
      <alignment horizontal="center"/>
    </xf>
    <xf numFmtId="4" fontId="2" fillId="0" borderId="0" xfId="1" applyNumberFormat="1" applyFont="1"/>
    <xf numFmtId="0" fontId="27" fillId="0" borderId="4" xfId="1" applyFont="1" applyBorder="1"/>
    <xf numFmtId="0" fontId="0" fillId="0" borderId="0" xfId="0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10" fontId="22" fillId="7" borderId="18" xfId="0" applyNumberFormat="1" applyFont="1" applyFill="1" applyBorder="1" applyAlignment="1">
      <alignment vertical="center"/>
    </xf>
    <xf numFmtId="14" fontId="0" fillId="0" borderId="0" xfId="0" applyNumberFormat="1" applyAlignment="1">
      <alignment vertical="center"/>
    </xf>
    <xf numFmtId="0" fontId="24" fillId="8" borderId="14" xfId="0" applyFont="1" applyFill="1" applyBorder="1" applyAlignment="1">
      <alignment horizontal="center" vertical="center"/>
    </xf>
    <xf numFmtId="0" fontId="24" fillId="8" borderId="11" xfId="0" applyFont="1" applyFill="1" applyBorder="1" applyAlignment="1">
      <alignment horizontal="center" vertical="center"/>
    </xf>
    <xf numFmtId="0" fontId="24" fillId="8" borderId="13" xfId="0" applyFont="1" applyFill="1" applyBorder="1" applyAlignment="1">
      <alignment horizontal="center" vertical="center"/>
    </xf>
    <xf numFmtId="0" fontId="24" fillId="8" borderId="19" xfId="0" applyFont="1" applyFill="1" applyBorder="1" applyAlignment="1">
      <alignment horizontal="center" vertical="center"/>
    </xf>
    <xf numFmtId="0" fontId="24" fillId="8" borderId="20" xfId="0" applyFont="1" applyFill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9" borderId="0" xfId="0" applyFont="1" applyFill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10" borderId="5" xfId="0" applyFont="1" applyFill="1" applyBorder="1" applyAlignment="1">
      <alignment horizontal="center" vertical="center"/>
    </xf>
    <xf numFmtId="0" fontId="23" fillId="10" borderId="8" xfId="0" applyFont="1" applyFill="1" applyBorder="1" applyAlignment="1">
      <alignment horizontal="center" vertical="center"/>
    </xf>
    <xf numFmtId="0" fontId="23" fillId="10" borderId="9" xfId="0" applyFont="1" applyFill="1" applyBorder="1" applyAlignment="1">
      <alignment horizontal="center" vertical="center"/>
    </xf>
    <xf numFmtId="0" fontId="23" fillId="10" borderId="7" xfId="0" applyFont="1" applyFill="1" applyBorder="1" applyAlignment="1">
      <alignment horizontal="center" vertical="center"/>
    </xf>
    <xf numFmtId="0" fontId="23" fillId="10" borderId="21" xfId="0" applyFont="1" applyFill="1" applyBorder="1" applyAlignment="1">
      <alignment horizontal="center" vertical="center"/>
    </xf>
    <xf numFmtId="14" fontId="8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15" fillId="0" borderId="0" xfId="0" applyFont="1" applyAlignment="1">
      <alignment horizontal="left" vertical="center"/>
    </xf>
    <xf numFmtId="0" fontId="5" fillId="0" borderId="0" xfId="1" applyFont="1" applyAlignment="1">
      <alignment horizontal="center"/>
    </xf>
    <xf numFmtId="4" fontId="16" fillId="6" borderId="8" xfId="0" applyNumberFormat="1" applyFont="1" applyFill="1" applyBorder="1" applyAlignment="1">
      <alignment horizontal="center" vertical="center" wrapText="1"/>
    </xf>
    <xf numFmtId="0" fontId="28" fillId="0" borderId="0" xfId="1" applyFont="1"/>
    <xf numFmtId="0" fontId="29" fillId="0" borderId="0" xfId="1" applyFont="1" applyAlignment="1">
      <alignment horizontal="center"/>
    </xf>
    <xf numFmtId="0" fontId="30" fillId="0" borderId="0" xfId="1" applyFont="1"/>
    <xf numFmtId="0" fontId="31" fillId="0" borderId="0" xfId="1" applyFont="1" applyAlignment="1">
      <alignment horizontal="center"/>
    </xf>
    <xf numFmtId="0" fontId="32" fillId="0" borderId="0" xfId="0" applyFont="1"/>
    <xf numFmtId="4" fontId="28" fillId="0" borderId="0" xfId="1" applyNumberFormat="1" applyFont="1"/>
    <xf numFmtId="14" fontId="28" fillId="0" borderId="0" xfId="1" applyNumberFormat="1" applyFont="1"/>
    <xf numFmtId="4" fontId="28" fillId="0" borderId="0" xfId="1" applyNumberFormat="1" applyFont="1" applyAlignment="1">
      <alignment horizontal="center"/>
    </xf>
    <xf numFmtId="0" fontId="33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37" fillId="0" borderId="11" xfId="1" applyFont="1" applyBorder="1" applyAlignment="1">
      <alignment horizontal="center" vertical="center"/>
    </xf>
    <xf numFmtId="0" fontId="37" fillId="0" borderId="12" xfId="1" applyFont="1" applyBorder="1" applyAlignment="1">
      <alignment horizontal="center" vertical="center"/>
    </xf>
    <xf numFmtId="0" fontId="37" fillId="0" borderId="13" xfId="1" applyFont="1" applyBorder="1" applyAlignment="1">
      <alignment horizontal="center" vertical="center"/>
    </xf>
    <xf numFmtId="3" fontId="37" fillId="0" borderId="13" xfId="1" applyNumberFormat="1" applyFont="1" applyBorder="1" applyAlignment="1">
      <alignment horizontal="center" vertical="center"/>
    </xf>
    <xf numFmtId="4" fontId="37" fillId="0" borderId="13" xfId="1" applyNumberFormat="1" applyFont="1" applyBorder="1" applyAlignment="1">
      <alignment horizontal="center" vertical="center"/>
    </xf>
    <xf numFmtId="0" fontId="37" fillId="0" borderId="14" xfId="1" applyFont="1" applyBorder="1" applyAlignment="1">
      <alignment horizontal="center" vertical="center"/>
    </xf>
    <xf numFmtId="0" fontId="37" fillId="0" borderId="0" xfId="1" applyFont="1" applyAlignment="1">
      <alignment horizontal="center" vertical="center"/>
    </xf>
    <xf numFmtId="0" fontId="33" fillId="0" borderId="8" xfId="1" applyFont="1" applyBorder="1" applyAlignment="1">
      <alignment horizontal="center" vertical="center"/>
    </xf>
    <xf numFmtId="14" fontId="33" fillId="0" borderId="9" xfId="1" applyNumberFormat="1" applyFont="1" applyBorder="1" applyAlignment="1">
      <alignment horizontal="center" vertical="center"/>
    </xf>
    <xf numFmtId="3" fontId="33" fillId="0" borderId="9" xfId="1" applyNumberFormat="1" applyFont="1" applyBorder="1" applyAlignment="1">
      <alignment horizontal="center" vertical="center"/>
    </xf>
    <xf numFmtId="165" fontId="33" fillId="0" borderId="9" xfId="1" applyNumberFormat="1" applyFont="1" applyBorder="1" applyAlignment="1">
      <alignment horizontal="center" vertical="center"/>
    </xf>
    <xf numFmtId="4" fontId="33" fillId="0" borderId="9" xfId="1" applyNumberFormat="1" applyFont="1" applyBorder="1" applyAlignment="1">
      <alignment horizontal="center" vertical="center"/>
    </xf>
    <xf numFmtId="4" fontId="33" fillId="0" borderId="5" xfId="1" applyNumberFormat="1" applyFont="1" applyBorder="1" applyAlignment="1">
      <alignment horizontal="center" vertical="center"/>
    </xf>
    <xf numFmtId="4" fontId="33" fillId="0" borderId="0" xfId="1" applyNumberFormat="1" applyFont="1" applyAlignment="1">
      <alignment horizontal="center" vertical="center"/>
    </xf>
    <xf numFmtId="4" fontId="33" fillId="0" borderId="8" xfId="1" applyNumberFormat="1" applyFont="1" applyBorder="1" applyAlignment="1">
      <alignment horizontal="center" vertical="center"/>
    </xf>
    <xf numFmtId="4" fontId="33" fillId="0" borderId="10" xfId="1" applyNumberFormat="1" applyFont="1" applyBorder="1" applyAlignment="1">
      <alignment horizontal="center" vertical="center"/>
    </xf>
    <xf numFmtId="0" fontId="33" fillId="0" borderId="15" xfId="1" applyFont="1" applyBorder="1" applyAlignment="1">
      <alignment horizontal="center" vertical="center"/>
    </xf>
    <xf numFmtId="3" fontId="33" fillId="0" borderId="16" xfId="1" applyNumberFormat="1" applyFont="1" applyBorder="1" applyAlignment="1">
      <alignment horizontal="center" vertical="center"/>
    </xf>
    <xf numFmtId="4" fontId="33" fillId="0" borderId="16" xfId="1" applyNumberFormat="1" applyFont="1" applyBorder="1" applyAlignment="1">
      <alignment horizontal="center" vertical="center"/>
    </xf>
    <xf numFmtId="4" fontId="33" fillId="0" borderId="17" xfId="1" applyNumberFormat="1" applyFont="1" applyBorder="1" applyAlignment="1">
      <alignment horizontal="center" vertical="center"/>
    </xf>
    <xf numFmtId="1" fontId="36" fillId="2" borderId="6" xfId="0" applyNumberFormat="1" applyFont="1" applyFill="1" applyBorder="1" applyAlignment="1">
      <alignment horizontal="center" vertical="center"/>
    </xf>
    <xf numFmtId="3" fontId="37" fillId="0" borderId="22" xfId="1" applyNumberFormat="1" applyFont="1" applyBorder="1" applyAlignment="1">
      <alignment horizontal="center" vertical="center"/>
    </xf>
    <xf numFmtId="0" fontId="37" fillId="0" borderId="22" xfId="1" applyFont="1" applyBorder="1" applyAlignment="1">
      <alignment horizontal="center" vertical="center"/>
    </xf>
    <xf numFmtId="4" fontId="37" fillId="0" borderId="22" xfId="1" applyNumberFormat="1" applyFont="1" applyBorder="1" applyAlignment="1">
      <alignment horizontal="center" vertical="center"/>
    </xf>
    <xf numFmtId="4" fontId="33" fillId="11" borderId="23" xfId="1" applyNumberFormat="1" applyFont="1" applyFill="1" applyBorder="1" applyAlignment="1">
      <alignment horizontal="center" vertical="center"/>
    </xf>
    <xf numFmtId="4" fontId="33" fillId="11" borderId="24" xfId="1" applyNumberFormat="1" applyFont="1" applyFill="1" applyBorder="1" applyAlignment="1">
      <alignment horizontal="center" vertical="center"/>
    </xf>
    <xf numFmtId="4" fontId="37" fillId="0" borderId="25" xfId="1" applyNumberFormat="1" applyFont="1" applyBorder="1" applyAlignment="1">
      <alignment horizontal="center" vertical="center"/>
    </xf>
    <xf numFmtId="0" fontId="38" fillId="0" borderId="0" xfId="1" applyFont="1" applyAlignment="1">
      <alignment vertical="center"/>
    </xf>
    <xf numFmtId="0" fontId="40" fillId="0" borderId="0" xfId="1" applyFont="1" applyAlignment="1">
      <alignment vertical="center"/>
    </xf>
    <xf numFmtId="0" fontId="39" fillId="0" borderId="0" xfId="0" applyFont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1" fillId="0" borderId="0" xfId="0" applyFont="1" applyAlignment="1">
      <alignment vertical="center"/>
    </xf>
    <xf numFmtId="0" fontId="41" fillId="4" borderId="0" xfId="0" applyFont="1" applyFill="1" applyAlignment="1">
      <alignment vertical="center"/>
    </xf>
    <xf numFmtId="0" fontId="41" fillId="0" borderId="0" xfId="0" applyFont="1" applyAlignment="1">
      <alignment horizontal="center" vertical="center"/>
    </xf>
    <xf numFmtId="0" fontId="44" fillId="0" borderId="0" xfId="1" applyFont="1" applyAlignment="1">
      <alignment horizontal="center" vertical="center"/>
    </xf>
    <xf numFmtId="0" fontId="38" fillId="0" borderId="3" xfId="1" applyFont="1" applyBorder="1" applyAlignment="1">
      <alignment vertical="center"/>
    </xf>
    <xf numFmtId="0" fontId="39" fillId="0" borderId="0" xfId="1" applyFont="1" applyAlignment="1">
      <alignment vertical="center"/>
    </xf>
    <xf numFmtId="14" fontId="42" fillId="0" borderId="0" xfId="1" applyNumberFormat="1" applyFont="1" applyAlignment="1">
      <alignment vertical="center"/>
    </xf>
    <xf numFmtId="0" fontId="45" fillId="0" borderId="4" xfId="1" applyFont="1" applyBorder="1" applyAlignment="1">
      <alignment vertical="center"/>
    </xf>
    <xf numFmtId="0" fontId="39" fillId="0" borderId="3" xfId="0" applyFont="1" applyBorder="1" applyAlignment="1">
      <alignment horizontal="right" vertical="center"/>
    </xf>
    <xf numFmtId="0" fontId="41" fillId="0" borderId="0" xfId="0" applyFont="1" applyAlignment="1">
      <alignment horizontal="right" vertical="center"/>
    </xf>
    <xf numFmtId="0" fontId="39" fillId="0" borderId="0" xfId="0" applyFont="1" applyAlignment="1">
      <alignment vertical="center"/>
    </xf>
    <xf numFmtId="10" fontId="47" fillId="0" borderId="0" xfId="2" applyNumberFormat="1" applyFont="1" applyBorder="1" applyAlignment="1">
      <alignment horizontal="center" vertical="center"/>
    </xf>
    <xf numFmtId="0" fontId="47" fillId="0" borderId="0" xfId="0" applyFont="1" applyAlignment="1">
      <alignment horizontal="right" vertical="center"/>
    </xf>
    <xf numFmtId="4" fontId="46" fillId="0" borderId="0" xfId="19" applyNumberFormat="1" applyFont="1" applyBorder="1" applyAlignment="1">
      <alignment horizontal="center" vertical="center"/>
    </xf>
    <xf numFmtId="4" fontId="47" fillId="0" borderId="0" xfId="19" applyNumberFormat="1" applyFont="1" applyBorder="1" applyAlignment="1">
      <alignment horizontal="center" vertical="center"/>
    </xf>
    <xf numFmtId="0" fontId="44" fillId="0" borderId="0" xfId="1" applyFont="1" applyAlignment="1">
      <alignment vertical="center"/>
    </xf>
    <xf numFmtId="0" fontId="44" fillId="0" borderId="3" xfId="0" applyFont="1" applyBorder="1" applyAlignment="1">
      <alignment horizontal="right" vertical="center"/>
    </xf>
    <xf numFmtId="10" fontId="46" fillId="0" borderId="0" xfId="2" applyNumberFormat="1" applyFont="1" applyBorder="1" applyAlignment="1">
      <alignment horizontal="center" vertical="center"/>
    </xf>
    <xf numFmtId="0" fontId="38" fillId="0" borderId="0" xfId="1" applyFont="1" applyAlignment="1">
      <alignment horizontal="right" vertical="center"/>
    </xf>
    <xf numFmtId="3" fontId="41" fillId="5" borderId="0" xfId="19" applyNumberFormat="1" applyFont="1" applyFill="1" applyBorder="1" applyAlignment="1">
      <alignment horizontal="center" vertical="center"/>
    </xf>
    <xf numFmtId="0" fontId="42" fillId="0" borderId="0" xfId="1" applyFont="1" applyAlignment="1">
      <alignment vertical="center"/>
    </xf>
    <xf numFmtId="0" fontId="41" fillId="0" borderId="3" xfId="0" applyFont="1" applyBorder="1" applyAlignment="1">
      <alignment horizontal="right" vertical="center"/>
    </xf>
    <xf numFmtId="0" fontId="48" fillId="0" borderId="0" xfId="0" applyFont="1" applyAlignment="1">
      <alignment horizontal="right" vertical="center"/>
    </xf>
    <xf numFmtId="4" fontId="41" fillId="0" borderId="0" xfId="19" applyNumberFormat="1" applyFont="1" applyBorder="1" applyAlignment="1">
      <alignment horizontal="center" vertical="center"/>
    </xf>
    <xf numFmtId="3" fontId="39" fillId="0" borderId="0" xfId="0" applyNumberFormat="1" applyFont="1" applyAlignment="1">
      <alignment vertical="center"/>
    </xf>
    <xf numFmtId="0" fontId="47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4" fontId="40" fillId="0" borderId="0" xfId="1" applyNumberFormat="1" applyFont="1" applyAlignment="1">
      <alignment vertical="center"/>
    </xf>
    <xf numFmtId="10" fontId="44" fillId="12" borderId="0" xfId="2" applyNumberFormat="1" applyFont="1" applyFill="1" applyBorder="1" applyAlignment="1">
      <alignment horizontal="center" vertical="center"/>
    </xf>
    <xf numFmtId="14" fontId="44" fillId="12" borderId="0" xfId="19" applyNumberFormat="1" applyFont="1" applyFill="1" applyBorder="1" applyAlignment="1">
      <alignment horizontal="center" vertical="center"/>
    </xf>
    <xf numFmtId="3" fontId="44" fillId="12" borderId="0" xfId="19" applyNumberFormat="1" applyFont="1" applyFill="1" applyBorder="1" applyAlignment="1">
      <alignment horizontal="center" vertical="center"/>
    </xf>
    <xf numFmtId="1" fontId="44" fillId="12" borderId="8" xfId="0" applyNumberFormat="1" applyFont="1" applyFill="1" applyBorder="1" applyAlignment="1">
      <alignment horizontal="center" vertical="center"/>
    </xf>
    <xf numFmtId="1" fontId="44" fillId="12" borderId="9" xfId="0" applyNumberFormat="1" applyFont="1" applyFill="1" applyBorder="1" applyAlignment="1">
      <alignment horizontal="center" vertical="center"/>
    </xf>
    <xf numFmtId="1" fontId="44" fillId="12" borderId="5" xfId="0" applyNumberFormat="1" applyFont="1" applyFill="1" applyBorder="1" applyAlignment="1">
      <alignment horizontal="center" vertical="center"/>
    </xf>
    <xf numFmtId="1" fontId="44" fillId="12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0" fontId="0" fillId="0" borderId="0" xfId="0" applyNumberFormat="1" applyAlignment="1">
      <alignment horizontal="left" vertical="center"/>
    </xf>
    <xf numFmtId="14" fontId="33" fillId="0" borderId="26" xfId="1" applyNumberFormat="1" applyFont="1" applyBorder="1" applyAlignment="1">
      <alignment horizontal="center" vertical="center"/>
    </xf>
    <xf numFmtId="3" fontId="33" fillId="0" borderId="27" xfId="1" applyNumberFormat="1" applyFont="1" applyBorder="1" applyAlignment="1">
      <alignment horizontal="center" vertical="center"/>
    </xf>
    <xf numFmtId="3" fontId="33" fillId="0" borderId="26" xfId="1" applyNumberFormat="1" applyFont="1" applyBorder="1" applyAlignment="1">
      <alignment horizontal="center" vertical="center"/>
    </xf>
    <xf numFmtId="165" fontId="33" fillId="0" borderId="27" xfId="1" applyNumberFormat="1" applyFont="1" applyBorder="1" applyAlignment="1">
      <alignment horizontal="center" vertical="center"/>
    </xf>
    <xf numFmtId="4" fontId="33" fillId="0" borderId="26" xfId="1" applyNumberFormat="1" applyFont="1" applyBorder="1" applyAlignment="1">
      <alignment horizontal="center" vertical="center"/>
    </xf>
    <xf numFmtId="4" fontId="33" fillId="0" borderId="27" xfId="1" applyNumberFormat="1" applyFont="1" applyBorder="1" applyAlignment="1">
      <alignment horizontal="center" vertical="center"/>
    </xf>
    <xf numFmtId="4" fontId="33" fillId="0" borderId="28" xfId="1" applyNumberFormat="1" applyFont="1" applyBorder="1" applyAlignment="1">
      <alignment horizontal="center" vertical="center"/>
    </xf>
    <xf numFmtId="4" fontId="33" fillId="0" borderId="29" xfId="1" applyNumberFormat="1" applyFont="1" applyBorder="1" applyAlignment="1">
      <alignment horizontal="center" vertical="center"/>
    </xf>
    <xf numFmtId="10" fontId="49" fillId="0" borderId="0" xfId="2" applyNumberFormat="1" applyFont="1" applyBorder="1" applyAlignment="1">
      <alignment horizontal="center" vertical="center"/>
    </xf>
    <xf numFmtId="0" fontId="45" fillId="0" borderId="0" xfId="1" applyFont="1" applyAlignment="1">
      <alignment vertical="center"/>
    </xf>
    <xf numFmtId="0" fontId="42" fillId="0" borderId="0" xfId="1" applyFont="1" applyAlignment="1">
      <alignment horizontal="center" vertical="center"/>
    </xf>
    <xf numFmtId="0" fontId="45" fillId="0" borderId="4" xfId="0" applyFont="1" applyBorder="1" applyAlignment="1">
      <alignment vertical="center"/>
    </xf>
    <xf numFmtId="0" fontId="45" fillId="0" borderId="0" xfId="0" applyFont="1" applyAlignment="1">
      <alignment vertical="center"/>
    </xf>
    <xf numFmtId="0" fontId="51" fillId="0" borderId="0" xfId="1" applyFont="1" applyAlignment="1">
      <alignment horizontal="center" vertical="center"/>
    </xf>
    <xf numFmtId="0" fontId="50" fillId="0" borderId="0" xfId="1" applyFont="1" applyAlignment="1">
      <alignment vertical="center"/>
    </xf>
    <xf numFmtId="4" fontId="50" fillId="0" borderId="0" xfId="1" applyNumberFormat="1" applyFont="1" applyAlignment="1">
      <alignment vertical="center"/>
    </xf>
    <xf numFmtId="14" fontId="50" fillId="0" borderId="0" xfId="1" applyNumberFormat="1" applyFont="1" applyAlignment="1">
      <alignment vertical="center"/>
    </xf>
    <xf numFmtId="4" fontId="50" fillId="0" borderId="0" xfId="1" applyNumberFormat="1" applyFont="1" applyAlignment="1">
      <alignment horizontal="center" vertical="center"/>
    </xf>
    <xf numFmtId="0" fontId="45" fillId="0" borderId="3" xfId="0" applyFont="1" applyBorder="1" applyAlignment="1">
      <alignment vertical="center"/>
    </xf>
    <xf numFmtId="0" fontId="52" fillId="5" borderId="0" xfId="0" applyFont="1" applyFill="1" applyAlignment="1">
      <alignment horizontal="center" vertical="center"/>
    </xf>
    <xf numFmtId="0" fontId="46" fillId="0" borderId="4" xfId="1" applyFont="1" applyBorder="1" applyAlignment="1">
      <alignment vertical="center"/>
    </xf>
    <xf numFmtId="0" fontId="46" fillId="0" borderId="4" xfId="1" applyFont="1" applyBorder="1" applyAlignment="1">
      <alignment horizontal="center" vertical="center"/>
    </xf>
    <xf numFmtId="0" fontId="44" fillId="0" borderId="0" xfId="1" applyFont="1" applyAlignment="1">
      <alignment horizontal="left" vertical="center"/>
    </xf>
    <xf numFmtId="1" fontId="44" fillId="12" borderId="30" xfId="0" applyNumberFormat="1" applyFont="1" applyFill="1" applyBorder="1" applyAlignment="1">
      <alignment horizontal="center" vertical="center"/>
    </xf>
    <xf numFmtId="1" fontId="0" fillId="5" borderId="0" xfId="0" applyNumberFormat="1" applyFill="1" applyAlignment="1">
      <alignment vertical="center"/>
    </xf>
    <xf numFmtId="0" fontId="41" fillId="0" borderId="3" xfId="0" applyFont="1" applyBorder="1" applyAlignment="1">
      <alignment vertical="center" wrapText="1"/>
    </xf>
    <xf numFmtId="0" fontId="46" fillId="0" borderId="0" xfId="1" applyFont="1" applyAlignment="1">
      <alignment vertical="center"/>
    </xf>
    <xf numFmtId="1" fontId="44" fillId="13" borderId="31" xfId="0" applyNumberFormat="1" applyFont="1" applyFill="1" applyBorder="1" applyAlignment="1">
      <alignment horizontal="center" vertical="center"/>
    </xf>
    <xf numFmtId="0" fontId="41" fillId="0" borderId="3" xfId="0" applyFont="1" applyBorder="1" applyAlignment="1">
      <alignment horizontal="right" vertical="center" wrapText="1"/>
    </xf>
    <xf numFmtId="4" fontId="33" fillId="0" borderId="0" xfId="1" applyNumberFormat="1" applyFont="1" applyAlignment="1">
      <alignment vertical="center"/>
    </xf>
    <xf numFmtId="0" fontId="23" fillId="0" borderId="32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3" fillId="0" borderId="33" xfId="0" applyNumberFormat="1" applyFont="1" applyBorder="1" applyAlignment="1">
      <alignment horizontal="center" vertical="center"/>
    </xf>
    <xf numFmtId="14" fontId="45" fillId="0" borderId="4" xfId="1" applyNumberFormat="1" applyFont="1" applyBorder="1" applyAlignment="1">
      <alignment vertical="center"/>
    </xf>
    <xf numFmtId="14" fontId="44" fillId="0" borderId="4" xfId="1" applyNumberFormat="1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39" fillId="0" borderId="0" xfId="1" applyFont="1" applyAlignment="1">
      <alignment horizontal="center" vertical="center"/>
    </xf>
    <xf numFmtId="4" fontId="47" fillId="0" borderId="0" xfId="0" applyNumberFormat="1" applyFont="1" applyAlignment="1">
      <alignment vertical="center"/>
    </xf>
    <xf numFmtId="0" fontId="44" fillId="0" borderId="0" xfId="0" applyFont="1" applyAlignment="1">
      <alignment vertical="center"/>
    </xf>
    <xf numFmtId="4" fontId="47" fillId="0" borderId="0" xfId="0" applyNumberFormat="1" applyFont="1" applyAlignment="1">
      <alignment horizontal="right" vertical="center"/>
    </xf>
    <xf numFmtId="10" fontId="38" fillId="0" borderId="0" xfId="2" applyNumberFormat="1" applyFont="1" applyFill="1" applyBorder="1" applyAlignment="1">
      <alignment horizontal="left" vertical="center"/>
    </xf>
    <xf numFmtId="0" fontId="46" fillId="12" borderId="0" xfId="1" applyFont="1" applyFill="1" applyAlignment="1">
      <alignment vertical="center"/>
    </xf>
    <xf numFmtId="10" fontId="0" fillId="0" borderId="0" xfId="0" applyNumberFormat="1" applyAlignment="1">
      <alignment vertical="center"/>
    </xf>
    <xf numFmtId="10" fontId="40" fillId="0" borderId="0" xfId="20" applyNumberFormat="1" applyFont="1" applyAlignment="1">
      <alignment horizontal="center" vertical="center"/>
    </xf>
    <xf numFmtId="2" fontId="34" fillId="0" borderId="0" xfId="1" applyNumberFormat="1" applyFont="1" applyAlignment="1">
      <alignment horizontal="center" vertical="center"/>
    </xf>
    <xf numFmtId="0" fontId="40" fillId="0" borderId="0" xfId="1" applyFont="1" applyAlignment="1">
      <alignment horizontal="center" vertical="center"/>
    </xf>
    <xf numFmtId="0" fontId="34" fillId="0" borderId="0" xfId="1" applyFont="1" applyAlignment="1">
      <alignment horizontal="center" vertical="center"/>
    </xf>
    <xf numFmtId="4" fontId="34" fillId="0" borderId="0" xfId="1" applyNumberFormat="1" applyFont="1" applyAlignment="1">
      <alignment horizontal="center" vertical="center"/>
    </xf>
    <xf numFmtId="169" fontId="40" fillId="0" borderId="0" xfId="20" applyNumberFormat="1" applyFont="1" applyAlignment="1">
      <alignment horizontal="center" vertical="center"/>
    </xf>
    <xf numFmtId="169" fontId="40" fillId="0" borderId="0" xfId="1" applyNumberFormat="1" applyFont="1" applyAlignment="1">
      <alignment horizontal="center" vertical="center"/>
    </xf>
    <xf numFmtId="9" fontId="0" fillId="0" borderId="0" xfId="0" applyNumberFormat="1" applyAlignment="1">
      <alignment vertical="center"/>
    </xf>
    <xf numFmtId="0" fontId="53" fillId="0" borderId="0" xfId="1" applyFont="1" applyAlignment="1">
      <alignment vertical="center"/>
    </xf>
    <xf numFmtId="0" fontId="54" fillId="0" borderId="0" xfId="1" applyFont="1" applyAlignment="1">
      <alignment vertical="center"/>
    </xf>
    <xf numFmtId="0" fontId="55" fillId="0" borderId="0" xfId="1" applyFont="1" applyAlignment="1">
      <alignment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left" vertical="center"/>
    </xf>
    <xf numFmtId="0" fontId="58" fillId="0" borderId="0" xfId="0" applyFont="1" applyAlignment="1">
      <alignment horizontal="left" vertical="center"/>
    </xf>
    <xf numFmtId="0" fontId="59" fillId="0" borderId="0" xfId="0" applyFont="1" applyAlignment="1">
      <alignment horizontal="left" vertical="center"/>
    </xf>
    <xf numFmtId="0" fontId="57" fillId="0" borderId="0" xfId="0" applyFont="1" applyAlignment="1">
      <alignment vertical="center"/>
    </xf>
    <xf numFmtId="0" fontId="57" fillId="4" borderId="0" xfId="0" applyFont="1" applyFill="1" applyAlignment="1">
      <alignment vertical="center"/>
    </xf>
    <xf numFmtId="0" fontId="57" fillId="0" borderId="0" xfId="0" applyFont="1" applyAlignment="1">
      <alignment horizontal="center" vertical="center"/>
    </xf>
    <xf numFmtId="0" fontId="56" fillId="0" borderId="0" xfId="1" applyFont="1" applyAlignment="1">
      <alignment horizontal="center" vertical="center"/>
    </xf>
    <xf numFmtId="0" fontId="60" fillId="0" borderId="0" xfId="1" applyFont="1" applyAlignment="1">
      <alignment horizontal="center" vertical="center"/>
    </xf>
    <xf numFmtId="0" fontId="58" fillId="0" borderId="0" xfId="1" applyFont="1" applyAlignment="1">
      <alignment horizontal="center" vertical="center"/>
    </xf>
    <xf numFmtId="0" fontId="53" fillId="0" borderId="3" xfId="1" applyFont="1" applyBorder="1" applyAlignment="1">
      <alignment vertical="center"/>
    </xf>
    <xf numFmtId="0" fontId="56" fillId="0" borderId="0" xfId="1" applyFont="1" applyAlignment="1">
      <alignment vertical="center"/>
    </xf>
    <xf numFmtId="14" fontId="58" fillId="0" borderId="0" xfId="1" applyNumberFormat="1" applyFont="1" applyAlignment="1">
      <alignment vertical="center"/>
    </xf>
    <xf numFmtId="0" fontId="54" fillId="0" borderId="4" xfId="1" applyFont="1" applyBorder="1" applyAlignment="1">
      <alignment vertical="center"/>
    </xf>
    <xf numFmtId="14" fontId="58" fillId="0" borderId="4" xfId="1" applyNumberFormat="1" applyFont="1" applyBorder="1" applyAlignment="1">
      <alignment vertical="center"/>
    </xf>
    <xf numFmtId="0" fontId="61" fillId="0" borderId="0" xfId="1" applyFont="1" applyAlignment="1">
      <alignment vertical="center"/>
    </xf>
    <xf numFmtId="0" fontId="62" fillId="0" borderId="4" xfId="1" applyFont="1" applyBorder="1" applyAlignment="1">
      <alignment vertical="center"/>
    </xf>
    <xf numFmtId="3" fontId="57" fillId="14" borderId="0" xfId="19" applyNumberFormat="1" applyFont="1" applyFill="1" applyBorder="1" applyAlignment="1">
      <alignment horizontal="center" vertical="center"/>
    </xf>
    <xf numFmtId="0" fontId="56" fillId="0" borderId="0" xfId="0" applyFont="1" applyAlignment="1">
      <alignment vertical="center"/>
    </xf>
    <xf numFmtId="0" fontId="60" fillId="4" borderId="0" xfId="1" applyFont="1" applyFill="1" applyAlignment="1">
      <alignment vertical="center"/>
    </xf>
    <xf numFmtId="3" fontId="60" fillId="4" borderId="0" xfId="19" applyNumberFormat="1" applyFont="1" applyFill="1" applyBorder="1" applyAlignment="1">
      <alignment horizontal="center" vertical="center"/>
    </xf>
    <xf numFmtId="0" fontId="62" fillId="0" borderId="4" xfId="1" applyFont="1" applyBorder="1" applyAlignment="1">
      <alignment horizontal="center" vertical="center"/>
    </xf>
    <xf numFmtId="0" fontId="56" fillId="0" borderId="3" xfId="0" applyFont="1" applyBorder="1" applyAlignment="1">
      <alignment horizontal="left" vertical="center"/>
    </xf>
    <xf numFmtId="10" fontId="60" fillId="15" borderId="0" xfId="2" applyNumberFormat="1" applyFont="1" applyFill="1" applyBorder="1" applyAlignment="1">
      <alignment horizontal="left" vertical="center"/>
    </xf>
    <xf numFmtId="0" fontId="53" fillId="0" borderId="0" xfId="1" applyFont="1" applyAlignment="1">
      <alignment horizontal="left" vertical="center"/>
    </xf>
    <xf numFmtId="0" fontId="53" fillId="0" borderId="4" xfId="1" applyFont="1" applyBorder="1" applyAlignment="1">
      <alignment vertical="center"/>
    </xf>
    <xf numFmtId="10" fontId="61" fillId="0" borderId="0" xfId="2" applyNumberFormat="1" applyFont="1" applyFill="1" applyBorder="1" applyAlignment="1">
      <alignment horizontal="center" vertical="center"/>
    </xf>
    <xf numFmtId="4" fontId="62" fillId="0" borderId="0" xfId="19" applyNumberFormat="1" applyFont="1" applyBorder="1" applyAlignment="1">
      <alignment horizontal="center" vertical="center"/>
    </xf>
    <xf numFmtId="0" fontId="62" fillId="0" borderId="0" xfId="1" applyFont="1" applyAlignment="1">
      <alignment vertical="center"/>
    </xf>
    <xf numFmtId="14" fontId="60" fillId="4" borderId="0" xfId="19" applyNumberFormat="1" applyFont="1" applyFill="1" applyBorder="1" applyAlignment="1">
      <alignment horizontal="center" vertical="center"/>
    </xf>
    <xf numFmtId="14" fontId="60" fillId="0" borderId="4" xfId="1" applyNumberFormat="1" applyFont="1" applyBorder="1" applyAlignment="1">
      <alignment horizontal="left" vertical="center"/>
    </xf>
    <xf numFmtId="10" fontId="61" fillId="0" borderId="0" xfId="2" applyNumberFormat="1" applyFont="1" applyBorder="1" applyAlignment="1">
      <alignment horizontal="left" vertical="center"/>
    </xf>
    <xf numFmtId="0" fontId="60" fillId="0" borderId="0" xfId="1" applyFont="1" applyAlignment="1">
      <alignment vertical="center"/>
    </xf>
    <xf numFmtId="0" fontId="60" fillId="0" borderId="0" xfId="1" applyFont="1" applyAlignment="1">
      <alignment horizontal="left" vertical="center"/>
    </xf>
    <xf numFmtId="0" fontId="60" fillId="0" borderId="3" xfId="0" applyFont="1" applyBorder="1" applyAlignment="1">
      <alignment horizontal="left" vertical="center"/>
    </xf>
    <xf numFmtId="10" fontId="54" fillId="0" borderId="0" xfId="2" applyNumberFormat="1" applyFont="1" applyBorder="1" applyAlignment="1">
      <alignment horizontal="left" vertical="center"/>
    </xf>
    <xf numFmtId="1" fontId="57" fillId="14" borderId="30" xfId="0" applyNumberFormat="1" applyFont="1" applyFill="1" applyBorder="1" applyAlignment="1">
      <alignment horizontal="center" vertical="center"/>
    </xf>
    <xf numFmtId="0" fontId="60" fillId="0" borderId="0" xfId="0" applyFont="1" applyAlignment="1">
      <alignment vertical="center"/>
    </xf>
    <xf numFmtId="0" fontId="57" fillId="0" borderId="3" xfId="0" applyFont="1" applyBorder="1" applyAlignment="1">
      <alignment horizontal="left" vertical="center"/>
    </xf>
    <xf numFmtId="1" fontId="60" fillId="15" borderId="0" xfId="0" applyNumberFormat="1" applyFont="1" applyFill="1" applyAlignment="1">
      <alignment horizontal="left" vertical="center"/>
    </xf>
    <xf numFmtId="1" fontId="57" fillId="14" borderId="31" xfId="0" applyNumberFormat="1" applyFont="1" applyFill="1" applyBorder="1" applyAlignment="1">
      <alignment horizontal="center" vertical="center"/>
    </xf>
    <xf numFmtId="4" fontId="57" fillId="14" borderId="0" xfId="19" applyNumberFormat="1" applyFont="1" applyFill="1" applyBorder="1" applyAlignment="1">
      <alignment horizontal="center" vertical="center"/>
    </xf>
    <xf numFmtId="3" fontId="56" fillId="0" borderId="0" xfId="0" applyNumberFormat="1" applyFont="1" applyAlignment="1">
      <alignment vertical="center"/>
    </xf>
    <xf numFmtId="0" fontId="53" fillId="0" borderId="3" xfId="1" applyFont="1" applyBorder="1" applyAlignment="1">
      <alignment horizontal="left" vertical="center"/>
    </xf>
    <xf numFmtId="10" fontId="53" fillId="0" borderId="0" xfId="2" applyNumberFormat="1" applyFont="1" applyFill="1" applyBorder="1" applyAlignment="1">
      <alignment horizontal="left" vertical="center"/>
    </xf>
    <xf numFmtId="4" fontId="61" fillId="16" borderId="9" xfId="0" applyNumberFormat="1" applyFont="1" applyFill="1" applyBorder="1" applyAlignment="1">
      <alignment horizontal="left" vertical="center"/>
    </xf>
    <xf numFmtId="10" fontId="53" fillId="0" borderId="5" xfId="2" applyNumberFormat="1" applyFont="1" applyBorder="1" applyAlignment="1">
      <alignment horizontal="center" vertical="center"/>
    </xf>
    <xf numFmtId="0" fontId="57" fillId="14" borderId="0" xfId="1" applyFont="1" applyFill="1" applyAlignment="1">
      <alignment horizontal="center" vertical="center" wrapText="1"/>
    </xf>
    <xf numFmtId="0" fontId="61" fillId="0" borderId="0" xfId="0" applyFont="1" applyAlignment="1">
      <alignment vertical="center"/>
    </xf>
    <xf numFmtId="0" fontId="54" fillId="0" borderId="3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4" xfId="0" applyFont="1" applyBorder="1" applyAlignment="1">
      <alignment vertical="center"/>
    </xf>
    <xf numFmtId="0" fontId="55" fillId="0" borderId="0" xfId="0" applyFont="1" applyAlignment="1">
      <alignment vertical="center"/>
    </xf>
    <xf numFmtId="0" fontId="55" fillId="0" borderId="34" xfId="0" applyFont="1" applyBorder="1" applyAlignment="1">
      <alignment vertical="center"/>
    </xf>
    <xf numFmtId="0" fontId="55" fillId="0" borderId="24" xfId="0" applyFont="1" applyBorder="1" applyAlignment="1">
      <alignment vertical="center"/>
    </xf>
    <xf numFmtId="0" fontId="56" fillId="5" borderId="21" xfId="1" applyFont="1" applyFill="1" applyBorder="1" applyAlignment="1">
      <alignment horizontal="left" vertical="center"/>
    </xf>
    <xf numFmtId="4" fontId="56" fillId="5" borderId="7" xfId="1" applyNumberFormat="1" applyFont="1" applyFill="1" applyBorder="1" applyAlignment="1">
      <alignment horizontal="left" vertical="center"/>
    </xf>
    <xf numFmtId="4" fontId="55" fillId="0" borderId="0" xfId="1" applyNumberFormat="1" applyFont="1" applyAlignment="1">
      <alignment vertical="center"/>
    </xf>
    <xf numFmtId="1" fontId="60" fillId="12" borderId="8" xfId="0" applyNumberFormat="1" applyFont="1" applyFill="1" applyBorder="1" applyAlignment="1">
      <alignment horizontal="center" vertical="center"/>
    </xf>
    <xf numFmtId="1" fontId="60" fillId="12" borderId="9" xfId="0" applyNumberFormat="1" applyFont="1" applyFill="1" applyBorder="1" applyAlignment="1">
      <alignment horizontal="center" vertical="center"/>
    </xf>
    <xf numFmtId="1" fontId="64" fillId="12" borderId="33" xfId="0" applyNumberFormat="1" applyFont="1" applyFill="1" applyBorder="1" applyAlignment="1">
      <alignment horizontal="center" vertical="center"/>
    </xf>
    <xf numFmtId="1" fontId="64" fillId="12" borderId="10" xfId="0" applyNumberFormat="1" applyFont="1" applyFill="1" applyBorder="1" applyAlignment="1">
      <alignment horizontal="center" vertical="center"/>
    </xf>
    <xf numFmtId="1" fontId="60" fillId="12" borderId="5" xfId="0" applyNumberFormat="1" applyFont="1" applyFill="1" applyBorder="1" applyAlignment="1">
      <alignment horizontal="center" vertical="center"/>
    </xf>
    <xf numFmtId="1" fontId="60" fillId="12" borderId="10" xfId="0" applyNumberFormat="1" applyFont="1" applyFill="1" applyBorder="1" applyAlignment="1">
      <alignment horizontal="center" vertical="center"/>
    </xf>
    <xf numFmtId="1" fontId="60" fillId="15" borderId="35" xfId="0" applyNumberFormat="1" applyFont="1" applyFill="1" applyBorder="1" applyAlignment="1">
      <alignment horizontal="center" vertical="center"/>
    </xf>
    <xf numFmtId="1" fontId="60" fillId="15" borderId="36" xfId="0" applyNumberFormat="1" applyFont="1" applyFill="1" applyBorder="1" applyAlignment="1">
      <alignment horizontal="center" vertical="center"/>
    </xf>
    <xf numFmtId="1" fontId="60" fillId="15" borderId="37" xfId="0" applyNumberFormat="1" applyFont="1" applyFill="1" applyBorder="1" applyAlignment="1">
      <alignment horizontal="center" vertical="center"/>
    </xf>
    <xf numFmtId="0" fontId="56" fillId="0" borderId="11" xfId="1" applyFont="1" applyBorder="1" applyAlignment="1">
      <alignment horizontal="center" vertical="center"/>
    </xf>
    <xf numFmtId="0" fontId="56" fillId="0" borderId="13" xfId="1" applyFont="1" applyBorder="1" applyAlignment="1">
      <alignment horizontal="center" vertical="center"/>
    </xf>
    <xf numFmtId="0" fontId="60" fillId="0" borderId="19" xfId="1" applyFont="1" applyBorder="1" applyAlignment="1">
      <alignment horizontal="center" vertical="center"/>
    </xf>
    <xf numFmtId="0" fontId="60" fillId="0" borderId="12" xfId="1" applyFont="1" applyBorder="1" applyAlignment="1">
      <alignment horizontal="center" vertical="center"/>
    </xf>
    <xf numFmtId="3" fontId="56" fillId="0" borderId="13" xfId="1" applyNumberFormat="1" applyFont="1" applyBorder="1" applyAlignment="1">
      <alignment horizontal="center" vertical="center"/>
    </xf>
    <xf numFmtId="4" fontId="56" fillId="0" borderId="13" xfId="1" applyNumberFormat="1" applyFont="1" applyBorder="1" applyAlignment="1">
      <alignment horizontal="center" vertical="center"/>
    </xf>
    <xf numFmtId="0" fontId="56" fillId="0" borderId="14" xfId="1" applyFont="1" applyBorder="1" applyAlignment="1">
      <alignment horizontal="center" vertical="center"/>
    </xf>
    <xf numFmtId="0" fontId="55" fillId="0" borderId="3" xfId="1" applyFont="1" applyBorder="1" applyAlignment="1">
      <alignment horizontal="center" vertical="center"/>
    </xf>
    <xf numFmtId="0" fontId="55" fillId="0" borderId="0" xfId="1" applyFont="1" applyAlignment="1">
      <alignment horizontal="center" vertical="center"/>
    </xf>
    <xf numFmtId="0" fontId="55" fillId="0" borderId="4" xfId="1" applyFont="1" applyBorder="1" applyAlignment="1">
      <alignment horizontal="center" vertical="center"/>
    </xf>
    <xf numFmtId="0" fontId="53" fillId="0" borderId="8" xfId="1" applyFont="1" applyBorder="1" applyAlignment="1">
      <alignment horizontal="center" vertical="center"/>
    </xf>
    <xf numFmtId="3" fontId="62" fillId="0" borderId="33" xfId="1" applyNumberFormat="1" applyFont="1" applyBorder="1" applyAlignment="1">
      <alignment horizontal="center" vertical="center"/>
    </xf>
    <xf numFmtId="3" fontId="62" fillId="0" borderId="10" xfId="1" applyNumberFormat="1" applyFont="1" applyBorder="1" applyAlignment="1">
      <alignment horizontal="center" vertical="center"/>
    </xf>
    <xf numFmtId="165" fontId="53" fillId="0" borderId="9" xfId="1" applyNumberFormat="1" applyFont="1" applyBorder="1" applyAlignment="1">
      <alignment horizontal="center" vertical="center"/>
    </xf>
    <xf numFmtId="4" fontId="53" fillId="0" borderId="9" xfId="1" applyNumberFormat="1" applyFont="1" applyBorder="1" applyAlignment="1">
      <alignment horizontal="center" vertical="center"/>
    </xf>
    <xf numFmtId="4" fontId="53" fillId="0" borderId="5" xfId="1" applyNumberFormat="1" applyFont="1" applyBorder="1" applyAlignment="1">
      <alignment horizontal="center" vertical="center"/>
    </xf>
    <xf numFmtId="4" fontId="53" fillId="0" borderId="8" xfId="1" applyNumberFormat="1" applyFont="1" applyBorder="1" applyAlignment="1">
      <alignment horizontal="center" vertical="center"/>
    </xf>
    <xf numFmtId="4" fontId="54" fillId="0" borderId="0" xfId="1" applyNumberFormat="1" applyFont="1" applyAlignment="1">
      <alignment vertical="center"/>
    </xf>
    <xf numFmtId="14" fontId="54" fillId="0" borderId="0" xfId="1" applyNumberFormat="1" applyFont="1" applyAlignment="1">
      <alignment vertical="center"/>
    </xf>
    <xf numFmtId="4" fontId="53" fillId="0" borderId="3" xfId="1" applyNumberFormat="1" applyFont="1" applyBorder="1" applyAlignment="1">
      <alignment horizontal="center" vertical="center"/>
    </xf>
    <xf numFmtId="4" fontId="53" fillId="0" borderId="0" xfId="1" applyNumberFormat="1" applyFont="1" applyAlignment="1">
      <alignment horizontal="center" vertical="center"/>
    </xf>
    <xf numFmtId="4" fontId="53" fillId="0" borderId="4" xfId="1" applyNumberFormat="1" applyFont="1" applyBorder="1" applyAlignment="1">
      <alignment horizontal="center" vertical="center"/>
    </xf>
    <xf numFmtId="4" fontId="53" fillId="0" borderId="10" xfId="1" applyNumberFormat="1" applyFont="1" applyBorder="1" applyAlignment="1">
      <alignment horizontal="center" vertical="center"/>
    </xf>
    <xf numFmtId="0" fontId="53" fillId="0" borderId="15" xfId="1" applyFont="1" applyBorder="1" applyAlignment="1">
      <alignment horizontal="center" vertical="center"/>
    </xf>
    <xf numFmtId="3" fontId="62" fillId="0" borderId="32" xfId="1" applyNumberFormat="1" applyFont="1" applyBorder="1" applyAlignment="1">
      <alignment horizontal="center" vertical="center"/>
    </xf>
    <xf numFmtId="4" fontId="53" fillId="0" borderId="16" xfId="1" applyNumberFormat="1" applyFont="1" applyBorder="1" applyAlignment="1">
      <alignment horizontal="center" vertical="center"/>
    </xf>
    <xf numFmtId="4" fontId="53" fillId="0" borderId="17" xfId="1" applyNumberFormat="1" applyFont="1" applyBorder="1" applyAlignment="1">
      <alignment horizontal="center" vertical="center"/>
    </xf>
    <xf numFmtId="3" fontId="62" fillId="0" borderId="38" xfId="1" applyNumberFormat="1" applyFont="1" applyBorder="1" applyAlignment="1">
      <alignment horizontal="center" vertical="center"/>
    </xf>
    <xf numFmtId="3" fontId="62" fillId="0" borderId="26" xfId="1" applyNumberFormat="1" applyFont="1" applyBorder="1" applyAlignment="1">
      <alignment horizontal="center" vertical="center"/>
    </xf>
    <xf numFmtId="165" fontId="53" fillId="0" borderId="27" xfId="1" applyNumberFormat="1" applyFont="1" applyBorder="1" applyAlignment="1">
      <alignment horizontal="center" vertical="center"/>
    </xf>
    <xf numFmtId="4" fontId="53" fillId="0" borderId="26" xfId="1" applyNumberFormat="1" applyFont="1" applyBorder="1" applyAlignment="1">
      <alignment horizontal="center" vertical="center"/>
    </xf>
    <xf numFmtId="4" fontId="53" fillId="0" borderId="27" xfId="1" applyNumberFormat="1" applyFont="1" applyBorder="1" applyAlignment="1">
      <alignment horizontal="center" vertical="center"/>
    </xf>
    <xf numFmtId="4" fontId="53" fillId="0" borderId="28" xfId="1" applyNumberFormat="1" applyFont="1" applyBorder="1" applyAlignment="1">
      <alignment horizontal="center" vertical="center"/>
    </xf>
    <xf numFmtId="4" fontId="53" fillId="0" borderId="29" xfId="1" applyNumberFormat="1" applyFont="1" applyBorder="1" applyAlignment="1">
      <alignment horizontal="center" vertical="center"/>
    </xf>
    <xf numFmtId="1" fontId="64" fillId="12" borderId="6" xfId="0" applyNumberFormat="1" applyFont="1" applyFill="1" applyBorder="1" applyAlignment="1">
      <alignment horizontal="center" vertical="center"/>
    </xf>
    <xf numFmtId="4" fontId="54" fillId="0" borderId="0" xfId="1" applyNumberFormat="1" applyFont="1" applyAlignment="1">
      <alignment horizontal="center" vertical="center"/>
    </xf>
    <xf numFmtId="4" fontId="56" fillId="0" borderId="23" xfId="1" applyNumberFormat="1" applyFont="1" applyBorder="1" applyAlignment="1">
      <alignment horizontal="center" vertical="center"/>
    </xf>
    <xf numFmtId="14" fontId="57" fillId="14" borderId="30" xfId="19" applyNumberFormat="1" applyFont="1" applyFill="1" applyBorder="1" applyAlignment="1">
      <alignment horizontal="center" vertical="center"/>
    </xf>
    <xf numFmtId="4" fontId="61" fillId="0" borderId="0" xfId="19" applyNumberFormat="1" applyFont="1" applyFill="1" applyBorder="1" applyAlignment="1">
      <alignment horizontal="center" vertical="center"/>
    </xf>
    <xf numFmtId="0" fontId="65" fillId="14" borderId="39" xfId="1" applyFont="1" applyFill="1" applyBorder="1" applyAlignment="1">
      <alignment horizontal="right" vertical="center"/>
    </xf>
    <xf numFmtId="0" fontId="65" fillId="14" borderId="3" xfId="0" applyFont="1" applyFill="1" applyBorder="1" applyAlignment="1">
      <alignment horizontal="right" vertical="center"/>
    </xf>
    <xf numFmtId="0" fontId="65" fillId="0" borderId="3" xfId="0" applyFont="1" applyBorder="1" applyAlignment="1">
      <alignment horizontal="right" vertical="center"/>
    </xf>
    <xf numFmtId="0" fontId="65" fillId="14" borderId="39" xfId="0" applyFont="1" applyFill="1" applyBorder="1" applyAlignment="1">
      <alignment horizontal="right" vertical="center" wrapText="1"/>
    </xf>
    <xf numFmtId="0" fontId="65" fillId="14" borderId="40" xfId="0" applyFont="1" applyFill="1" applyBorder="1" applyAlignment="1">
      <alignment horizontal="right" vertical="center" wrapText="1"/>
    </xf>
    <xf numFmtId="0" fontId="65" fillId="0" borderId="3" xfId="0" applyFont="1" applyBorder="1" applyAlignment="1">
      <alignment vertical="center" wrapText="1"/>
    </xf>
    <xf numFmtId="0" fontId="65" fillId="14" borderId="3" xfId="0" applyFont="1" applyFill="1" applyBorder="1" applyAlignment="1">
      <alignment horizontal="right" vertical="center" wrapText="1"/>
    </xf>
    <xf numFmtId="0" fontId="65" fillId="14" borderId="0" xfId="0" applyFont="1" applyFill="1" applyAlignment="1">
      <alignment horizontal="left" vertical="center" wrapText="1"/>
    </xf>
    <xf numFmtId="0" fontId="65" fillId="0" borderId="0" xfId="0" applyFont="1" applyAlignment="1">
      <alignment horizontal="left" vertical="center" wrapText="1"/>
    </xf>
    <xf numFmtId="0" fontId="65" fillId="0" borderId="0" xfId="1" applyFont="1" applyAlignment="1">
      <alignment horizontal="left" vertical="center" wrapText="1"/>
    </xf>
    <xf numFmtId="0" fontId="64" fillId="12" borderId="21" xfId="1" applyFont="1" applyFill="1" applyBorder="1" applyAlignment="1">
      <alignment horizontal="center" vertical="center"/>
    </xf>
    <xf numFmtId="4" fontId="56" fillId="0" borderId="21" xfId="1" applyNumberFormat="1" applyFont="1" applyBorder="1" applyAlignment="1">
      <alignment horizontal="center" vertical="center"/>
    </xf>
    <xf numFmtId="1" fontId="64" fillId="12" borderId="21" xfId="0" applyNumberFormat="1" applyFont="1" applyFill="1" applyBorder="1" applyAlignment="1">
      <alignment horizontal="center" vertical="center"/>
    </xf>
    <xf numFmtId="3" fontId="64" fillId="12" borderId="21" xfId="1" applyNumberFormat="1" applyFont="1" applyFill="1" applyBorder="1" applyAlignment="1">
      <alignment horizontal="center" vertical="center"/>
    </xf>
    <xf numFmtId="4" fontId="53" fillId="11" borderId="21" xfId="1" applyNumberFormat="1" applyFont="1" applyFill="1" applyBorder="1" applyAlignment="1">
      <alignment horizontal="center" vertical="center"/>
    </xf>
    <xf numFmtId="4" fontId="56" fillId="0" borderId="7" xfId="1" applyNumberFormat="1" applyFont="1" applyBorder="1" applyAlignment="1">
      <alignment horizontal="center" vertical="center"/>
    </xf>
    <xf numFmtId="49" fontId="67" fillId="0" borderId="0" xfId="0" applyNumberFormat="1" applyFont="1"/>
    <xf numFmtId="3" fontId="64" fillId="12" borderId="41" xfId="1" applyNumberFormat="1" applyFont="1" applyFill="1" applyBorder="1" applyAlignment="1">
      <alignment horizontal="center" vertical="center"/>
    </xf>
    <xf numFmtId="1" fontId="60" fillId="12" borderId="10" xfId="0" applyNumberFormat="1" applyFont="1" applyFill="1" applyBorder="1" applyAlignment="1">
      <alignment horizontal="left" vertical="center"/>
    </xf>
    <xf numFmtId="0" fontId="56" fillId="0" borderId="12" xfId="1" applyFont="1" applyBorder="1" applyAlignment="1">
      <alignment horizontal="left" vertical="center"/>
    </xf>
    <xf numFmtId="14" fontId="53" fillId="0" borderId="10" xfId="1" applyNumberFormat="1" applyFont="1" applyBorder="1" applyAlignment="1">
      <alignment horizontal="left" vertical="center"/>
    </xf>
    <xf numFmtId="14" fontId="53" fillId="0" borderId="26" xfId="1" applyNumberFormat="1" applyFont="1" applyBorder="1" applyAlignment="1">
      <alignment horizontal="left" vertical="center"/>
    </xf>
    <xf numFmtId="1" fontId="64" fillId="12" borderId="42" xfId="0" applyNumberFormat="1" applyFont="1" applyFill="1" applyBorder="1" applyAlignment="1">
      <alignment horizontal="left" vertical="center"/>
    </xf>
    <xf numFmtId="10" fontId="57" fillId="14" borderId="0" xfId="20" applyNumberFormat="1" applyFont="1" applyFill="1" applyBorder="1" applyAlignment="1">
      <alignment horizontal="center" vertical="center"/>
    </xf>
    <xf numFmtId="4" fontId="57" fillId="14" borderId="0" xfId="20" applyNumberFormat="1" applyFont="1" applyFill="1" applyBorder="1" applyAlignment="1">
      <alignment horizontal="center" vertical="center"/>
    </xf>
    <xf numFmtId="4" fontId="53" fillId="0" borderId="0" xfId="0" applyNumberFormat="1" applyFont="1" applyAlignment="1">
      <alignment vertical="center"/>
    </xf>
    <xf numFmtId="4" fontId="53" fillId="0" borderId="0" xfId="0" applyNumberFormat="1" applyFont="1" applyAlignment="1">
      <alignment horizontal="right" vertical="center"/>
    </xf>
    <xf numFmtId="3" fontId="53" fillId="0" borderId="33" xfId="1" applyNumberFormat="1" applyFont="1" applyBorder="1" applyAlignment="1">
      <alignment horizontal="center" vertical="center"/>
    </xf>
    <xf numFmtId="14" fontId="0" fillId="17" borderId="0" xfId="0" applyNumberFormat="1" applyFill="1" applyAlignment="1">
      <alignment horizontal="center" vertical="center"/>
    </xf>
    <xf numFmtId="14" fontId="62" fillId="0" borderId="0" xfId="1" applyNumberFormat="1" applyFont="1" applyAlignment="1">
      <alignment vertical="center"/>
    </xf>
    <xf numFmtId="14" fontId="62" fillId="0" borderId="33" xfId="1" applyNumberFormat="1" applyFont="1" applyBorder="1" applyAlignment="1">
      <alignment horizontal="center" vertical="center"/>
    </xf>
    <xf numFmtId="1" fontId="60" fillId="12" borderId="33" xfId="0" applyNumberFormat="1" applyFont="1" applyFill="1" applyBorder="1" applyAlignment="1">
      <alignment horizontal="center" vertical="center"/>
    </xf>
    <xf numFmtId="14" fontId="62" fillId="0" borderId="4" xfId="1" applyNumberFormat="1" applyFont="1" applyBorder="1" applyAlignment="1">
      <alignment vertical="center"/>
    </xf>
    <xf numFmtId="4" fontId="62" fillId="0" borderId="0" xfId="0" applyNumberFormat="1" applyFont="1" applyAlignment="1">
      <alignment vertical="center"/>
    </xf>
    <xf numFmtId="0" fontId="66" fillId="0" borderId="0" xfId="0" applyFont="1" applyAlignment="1">
      <alignment horizontal="center" vertical="center"/>
    </xf>
    <xf numFmtId="0" fontId="57" fillId="0" borderId="0" xfId="0" applyFont="1" applyAlignment="1">
      <alignment horizontal="left" vertical="center"/>
    </xf>
    <xf numFmtId="1" fontId="60" fillId="12" borderId="43" xfId="0" applyNumberFormat="1" applyFont="1" applyFill="1" applyBorder="1" applyAlignment="1">
      <alignment horizontal="left" vertical="center"/>
    </xf>
    <xf numFmtId="1" fontId="60" fillId="12" borderId="44" xfId="0" applyNumberFormat="1" applyFont="1" applyFill="1" applyBorder="1" applyAlignment="1">
      <alignment horizontal="left" vertical="center"/>
    </xf>
    <xf numFmtId="1" fontId="60" fillId="12" borderId="45" xfId="0" applyNumberFormat="1" applyFont="1" applyFill="1" applyBorder="1" applyAlignment="1">
      <alignment horizontal="left" vertical="center"/>
    </xf>
    <xf numFmtId="1" fontId="60" fillId="12" borderId="46" xfId="0" applyNumberFormat="1" applyFont="1" applyFill="1" applyBorder="1" applyAlignment="1">
      <alignment horizontal="center" vertical="center"/>
    </xf>
    <xf numFmtId="1" fontId="60" fillId="12" borderId="47" xfId="0" applyNumberFormat="1" applyFont="1" applyFill="1" applyBorder="1" applyAlignment="1">
      <alignment horizontal="center" vertical="center"/>
    </xf>
    <xf numFmtId="1" fontId="60" fillId="12" borderId="48" xfId="0" applyNumberFormat="1" applyFont="1" applyFill="1" applyBorder="1" applyAlignment="1">
      <alignment horizontal="center" vertical="center"/>
    </xf>
    <xf numFmtId="0" fontId="56" fillId="0" borderId="0" xfId="1" applyFont="1" applyAlignment="1">
      <alignment horizontal="center" vertical="center"/>
    </xf>
    <xf numFmtId="1" fontId="60" fillId="15" borderId="43" xfId="0" applyNumberFormat="1" applyFont="1" applyFill="1" applyBorder="1" applyAlignment="1">
      <alignment horizontal="left" vertical="center"/>
    </xf>
    <xf numFmtId="1" fontId="60" fillId="15" borderId="44" xfId="0" applyNumberFormat="1" applyFont="1" applyFill="1" applyBorder="1" applyAlignment="1">
      <alignment horizontal="left" vertical="center"/>
    </xf>
    <xf numFmtId="1" fontId="60" fillId="15" borderId="45" xfId="0" applyNumberFormat="1" applyFont="1" applyFill="1" applyBorder="1" applyAlignment="1">
      <alignment horizontal="left" vertical="center"/>
    </xf>
    <xf numFmtId="4" fontId="61" fillId="16" borderId="9" xfId="0" applyNumberFormat="1" applyFont="1" applyFill="1" applyBorder="1" applyAlignment="1">
      <alignment horizontal="left" vertical="center"/>
    </xf>
    <xf numFmtId="0" fontId="60" fillId="15" borderId="37" xfId="0" applyFont="1" applyFill="1" applyBorder="1" applyAlignment="1">
      <alignment horizontal="center" vertical="center"/>
    </xf>
    <xf numFmtId="0" fontId="60" fillId="15" borderId="5" xfId="0" applyFont="1" applyFill="1" applyBorder="1" applyAlignment="1">
      <alignment horizontal="center" vertical="center"/>
    </xf>
    <xf numFmtId="0" fontId="63" fillId="0" borderId="3" xfId="1" applyFont="1" applyBorder="1" applyAlignment="1">
      <alignment horizontal="left" vertical="center"/>
    </xf>
    <xf numFmtId="0" fontId="63" fillId="0" borderId="0" xfId="1" applyFont="1" applyAlignment="1">
      <alignment horizontal="left" vertical="center"/>
    </xf>
    <xf numFmtId="0" fontId="61" fillId="0" borderId="0" xfId="1" applyFont="1" applyAlignment="1">
      <alignment horizontal="center" vertical="center"/>
    </xf>
    <xf numFmtId="0" fontId="45" fillId="0" borderId="0" xfId="1" applyFont="1" applyAlignment="1">
      <alignment horizontal="center" vertical="center"/>
    </xf>
    <xf numFmtId="1" fontId="44" fillId="12" borderId="46" xfId="0" applyNumberFormat="1" applyFont="1" applyFill="1" applyBorder="1" applyAlignment="1">
      <alignment horizontal="center" vertical="center"/>
    </xf>
    <xf numFmtId="1" fontId="44" fillId="12" borderId="47" xfId="0" applyNumberFormat="1" applyFont="1" applyFill="1" applyBorder="1" applyAlignment="1">
      <alignment horizontal="center" vertical="center"/>
    </xf>
    <xf numFmtId="1" fontId="44" fillId="12" borderId="48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39" fillId="0" borderId="0" xfId="1" applyFont="1" applyAlignment="1">
      <alignment horizontal="center" vertical="center"/>
    </xf>
    <xf numFmtId="1" fontId="44" fillId="12" borderId="43" xfId="0" applyNumberFormat="1" applyFont="1" applyFill="1" applyBorder="1" applyAlignment="1">
      <alignment horizontal="left" vertical="center"/>
    </xf>
    <xf numFmtId="1" fontId="44" fillId="12" borderId="44" xfId="0" applyNumberFormat="1" applyFont="1" applyFill="1" applyBorder="1" applyAlignment="1">
      <alignment horizontal="left" vertical="center"/>
    </xf>
    <xf numFmtId="1" fontId="44" fillId="12" borderId="45" xfId="0" applyNumberFormat="1" applyFont="1" applyFill="1" applyBorder="1" applyAlignment="1">
      <alignment horizontal="left" vertical="center"/>
    </xf>
    <xf numFmtId="4" fontId="16" fillId="6" borderId="35" xfId="0" applyNumberFormat="1" applyFont="1" applyFill="1" applyBorder="1" applyAlignment="1">
      <alignment horizontal="center" vertical="center" wrapText="1"/>
    </xf>
    <xf numFmtId="4" fontId="16" fillId="6" borderId="8" xfId="0" applyNumberFormat="1" applyFont="1" applyFill="1" applyBorder="1" applyAlignment="1">
      <alignment horizontal="center" vertical="center" wrapText="1"/>
    </xf>
    <xf numFmtId="0" fontId="17" fillId="2" borderId="37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1" fontId="17" fillId="2" borderId="46" xfId="0" applyNumberFormat="1" applyFont="1" applyFill="1" applyBorder="1" applyAlignment="1">
      <alignment horizontal="center" vertical="center"/>
    </xf>
    <xf numFmtId="1" fontId="17" fillId="2" borderId="47" xfId="0" applyNumberFormat="1" applyFont="1" applyFill="1" applyBorder="1" applyAlignment="1">
      <alignment horizontal="center" vertical="center"/>
    </xf>
    <xf numFmtId="1" fontId="17" fillId="2" borderId="4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5" fillId="0" borderId="0" xfId="1" applyFont="1" applyAlignment="1">
      <alignment horizontal="center"/>
    </xf>
    <xf numFmtId="1" fontId="17" fillId="2" borderId="43" xfId="0" applyNumberFormat="1" applyFont="1" applyFill="1" applyBorder="1" applyAlignment="1">
      <alignment horizontal="left" vertical="center"/>
    </xf>
    <xf numFmtId="1" fontId="17" fillId="2" borderId="44" xfId="0" applyNumberFormat="1" applyFont="1" applyFill="1" applyBorder="1" applyAlignment="1">
      <alignment horizontal="left" vertical="center"/>
    </xf>
    <xf numFmtId="1" fontId="17" fillId="2" borderId="45" xfId="0" applyNumberFormat="1" applyFont="1" applyFill="1" applyBorder="1" applyAlignment="1">
      <alignment horizontal="left" vertical="center"/>
    </xf>
  </cellXfs>
  <cellStyles count="22">
    <cellStyle name="Cancel" xfId="3" xr:uid="{00000000-0005-0000-0000-000000000000}"/>
    <cellStyle name="Comma0 - Modelo1" xfId="4" xr:uid="{00000000-0005-0000-0000-000001000000}"/>
    <cellStyle name="Comma0 - Style1" xfId="5" xr:uid="{00000000-0005-0000-0000-000002000000}"/>
    <cellStyle name="Comma0 - Style2" xfId="6" xr:uid="{00000000-0005-0000-0000-000003000000}"/>
    <cellStyle name="Comma1 - Modelo2" xfId="7" xr:uid="{00000000-0005-0000-0000-000004000000}"/>
    <cellStyle name="Comma1 - Style1" xfId="8" xr:uid="{00000000-0005-0000-0000-000005000000}"/>
    <cellStyle name="Comma1 - Style2" xfId="9" xr:uid="{00000000-0005-0000-0000-000006000000}"/>
    <cellStyle name="Currency [0]_8-a, perstat-nov" xfId="10" xr:uid="{00000000-0005-0000-0000-000007000000}"/>
    <cellStyle name="Currency_8-a, perstat-nov" xfId="11" xr:uid="{00000000-0005-0000-0000-000008000000}"/>
    <cellStyle name="dicme93" xfId="12" xr:uid="{00000000-0005-0000-0000-000009000000}"/>
    <cellStyle name="LASER" xfId="13" xr:uid="{00000000-0005-0000-0000-00000A000000}"/>
    <cellStyle name="Millares 2" xfId="14" xr:uid="{00000000-0005-0000-0000-00000B000000}"/>
    <cellStyle name="Moneda" xfId="19" xr:uid="{00000000-0005-0000-0000-00000C000000}"/>
    <cellStyle name="Moneda 2" xfId="21" xr:uid="{00000000-0005-0000-0000-00000D000000}"/>
    <cellStyle name="Normal" xfId="0" builtinId="0"/>
    <cellStyle name="Normal 2" xfId="1" xr:uid="{00000000-0005-0000-0000-00000F000000}"/>
    <cellStyle name="Normal 2 7" xfId="15" xr:uid="{00000000-0005-0000-0000-000010000000}"/>
    <cellStyle name="Porcentaje" xfId="20" xr:uid="{00000000-0005-0000-0000-000011000000}"/>
    <cellStyle name="Porcentaje 2" xfId="2" xr:uid="{00000000-0005-0000-0000-000012000000}"/>
    <cellStyle name="Porcentual 2" xfId="16" xr:uid="{00000000-0005-0000-0000-000013000000}"/>
    <cellStyle name="Porcentual 3" xfId="17" xr:uid="{00000000-0005-0000-0000-000014000000}"/>
    <cellStyle name="RM" xfId="18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76</xdr:row>
      <xdr:rowOff>120650</xdr:rowOff>
    </xdr:from>
    <xdr:to>
      <xdr:col>7</xdr:col>
      <xdr:colOff>646628</xdr:colOff>
      <xdr:row>91</xdr:row>
      <xdr:rowOff>0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661670</xdr:colOff>
      <xdr:row>16</xdr:row>
      <xdr:rowOff>105410</xdr:rowOff>
    </xdr:from>
    <xdr:to>
      <xdr:col>15</xdr:col>
      <xdr:colOff>147320</xdr:colOff>
      <xdr:row>26</xdr:row>
      <xdr:rowOff>17780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Grp="1"/>
        </xdr:cNvSpPr>
      </xdr:nvSpPr>
      <xdr:spPr>
        <a:xfrm>
          <a:off x="7466330" y="3206750"/>
          <a:ext cx="5101590" cy="1741170"/>
        </a:xfrm>
        <a:prstGeom prst="rect">
          <a:avLst/>
        </a:prstGeom>
        <a:solidFill>
          <a:schemeClr val="bg1"/>
        </a:solidFill>
        <a:ln w="9525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square" anchor="t"/>
        <a:lstStyle/>
        <a:p>
          <a:pPr marL="0" indent="0">
            <a:buNone/>
          </a:pPr>
          <a:r>
            <a:rPr sz="700">
              <a:solidFill>
                <a:schemeClr val="tx1"/>
              </a:solidFill>
              <a:latin typeface="Century Gothic"/>
              <a:ea typeface="Century Gothic"/>
              <a:cs typeface="Century Gothic"/>
            </a:rPr>
            <a:t>- Simulador valido solo para desembolsos en moneda Soles.</a:t>
          </a:r>
          <a:endParaRPr/>
        </a:p>
        <a:p>
          <a:pPr marL="0" indent="0">
            <a:buNone/>
          </a:pPr>
          <a:r>
            <a:rPr sz="700">
              <a:solidFill>
                <a:schemeClr val="tx1"/>
              </a:solidFill>
              <a:latin typeface="Century Gothic"/>
              <a:ea typeface="Century Gothic"/>
              <a:cs typeface="Century Gothic"/>
            </a:rPr>
            <a:t>- Esta simulación no significa la aprobación del crédito, puesto que estará sujeta a evaluación crediticia.</a:t>
          </a:r>
          <a:endParaRPr/>
        </a:p>
        <a:p>
          <a:pPr marL="0" indent="0">
            <a:buNone/>
          </a:pPr>
          <a:r>
            <a:rPr sz="700">
              <a:solidFill>
                <a:schemeClr val="tx1"/>
              </a:solidFill>
              <a:latin typeface="Century Gothic"/>
              <a:ea typeface="Century Gothic"/>
              <a:cs typeface="Century Gothic"/>
            </a:rPr>
            <a:t>- La TEA aplicada a esta simulación es fija.</a:t>
          </a:r>
          <a:endParaRPr/>
        </a:p>
        <a:p>
          <a:pPr marL="0" indent="0">
            <a:buNone/>
          </a:pPr>
          <a:r>
            <a:rPr sz="700">
              <a:solidFill>
                <a:schemeClr val="tx1"/>
              </a:solidFill>
              <a:latin typeface="Century Gothic"/>
              <a:ea typeface="Century Gothic"/>
              <a:cs typeface="Century Gothic"/>
            </a:rPr>
            <a:t>- El monto a abonar, incluye ITF.</a:t>
          </a:r>
          <a:endParaRPr/>
        </a:p>
        <a:p>
          <a:pPr marL="0" indent="0">
            <a:buNone/>
          </a:pPr>
          <a:r>
            <a:rPr sz="700">
              <a:solidFill>
                <a:schemeClr val="tx1"/>
              </a:solidFill>
              <a:latin typeface="Century Gothic"/>
              <a:ea typeface="Century Gothic"/>
              <a:cs typeface="Century Gothic"/>
            </a:rPr>
            <a:t>- Este simulador es referencial en función de la información ingresada.</a:t>
          </a:r>
          <a:endParaRPr/>
        </a:p>
        <a:p>
          <a:pPr marL="0" indent="0">
            <a:buNone/>
          </a:pPr>
          <a:r>
            <a:rPr sz="700">
              <a:solidFill>
                <a:schemeClr val="tx1"/>
              </a:solidFill>
              <a:latin typeface="Century Gothic"/>
              <a:ea typeface="Century Gothic"/>
              <a:cs typeface="Century Gothic"/>
            </a:rPr>
            <a:t>- El Socio puede optar por contratar el/los seguro(s) incluido(s) en la simulación directamente o a través de un  </a:t>
          </a:r>
          <a:endParaRPr/>
        </a:p>
        <a:p>
          <a:pPr marL="0" indent="0">
            <a:buNone/>
          </a:pPr>
          <a:r>
            <a:rPr sz="700">
              <a:solidFill>
                <a:schemeClr val="tx1"/>
              </a:solidFill>
              <a:latin typeface="Century Gothic"/>
              <a:ea typeface="Century Gothic"/>
              <a:cs typeface="Century Gothic"/>
            </a:rPr>
            <a:t>  corredor de seguros, en tanto posea(n) las mismas condiciones que el/los comercializado(s) por Diners Club y </a:t>
          </a:r>
          <a:endParaRPr/>
        </a:p>
        <a:p>
          <a:pPr marL="0" indent="0">
            <a:buNone/>
          </a:pPr>
          <a:r>
            <a:rPr sz="700">
              <a:solidFill>
                <a:schemeClr val="tx1"/>
              </a:solidFill>
              <a:latin typeface="Century Gothic"/>
              <a:ea typeface="Century Gothic"/>
              <a:cs typeface="Century Gothic"/>
            </a:rPr>
            <a:t>  cubra(n)al 100% el importe capital adeudado.</a:t>
          </a:r>
          <a:endParaRPr/>
        </a:p>
        <a:p>
          <a:r>
            <a:rPr sz="700">
              <a:solidFill>
                <a:schemeClr val="tx1"/>
              </a:solidFill>
              <a:latin typeface="Century Gothic"/>
              <a:ea typeface="Century Gothic"/>
              <a:cs typeface="Century Gothic"/>
            </a:rPr>
            <a:t>- La prima del Seguro de Desgravamen será incluida en el capital inicial y financiada según condiciones de crédito.    </a:t>
          </a:r>
          <a:endParaRPr/>
        </a:p>
        <a:p>
          <a:r>
            <a:rPr sz="700">
              <a:solidFill>
                <a:schemeClr val="tx1"/>
              </a:solidFill>
              <a:latin typeface="Century Gothic"/>
              <a:ea typeface="Century Gothic"/>
              <a:cs typeface="Century Gothic"/>
            </a:rPr>
            <a:t>  La prima única se calculará sumando los valores presentes del desgravamen por cada cuota (en base al saldo </a:t>
          </a:r>
          <a:endParaRPr/>
        </a:p>
        <a:p>
          <a:r>
            <a:rPr sz="700">
              <a:solidFill>
                <a:schemeClr val="tx1"/>
              </a:solidFill>
              <a:latin typeface="Century Gothic"/>
              <a:ea typeface="Century Gothic"/>
              <a:cs typeface="Century Gothic"/>
            </a:rPr>
            <a:t>  insoluto de la deuda), según cronograma de pagos</a:t>
          </a:r>
          <a:endParaRPr/>
        </a:p>
        <a:p>
          <a:r>
            <a:rPr sz="700">
              <a:solidFill>
                <a:schemeClr val="tx1"/>
              </a:solidFill>
              <a:latin typeface="Century Gothic"/>
              <a:ea typeface="Century Gothic"/>
              <a:cs typeface="Century Gothic"/>
            </a:rPr>
            <a:t>- En caso de imcumplimiento en los pagos, se aplicará la tasa de interés moratoria nominal anual establecido. </a:t>
          </a:r>
          <a:endParaRPr/>
        </a:p>
        <a:p>
          <a:r>
            <a:rPr sz="700">
              <a:solidFill>
                <a:schemeClr val="tx1"/>
              </a:solidFill>
              <a:latin typeface="Century Gothic"/>
              <a:ea typeface="Century Gothic"/>
              <a:cs typeface="Century Gothic"/>
            </a:rPr>
            <a:t>  Mayor información visite la sección de "Préstamo personal", "formulas y más", publicados en nuestra web.</a:t>
          </a:r>
          <a:endParaRPr/>
        </a:p>
        <a:p>
          <a:r>
            <a:rPr sz="700">
              <a:solidFill>
                <a:schemeClr val="tx1"/>
              </a:solidFill>
              <a:latin typeface="Century Gothic"/>
              <a:ea typeface="Century Gothic"/>
              <a:cs typeface="Century Gothic"/>
            </a:rPr>
            <a:t>- Esta información se proporciona de acuerdo con el Reglamendo de Gestión de Conducta </a:t>
          </a:r>
          <a:endParaRPr/>
        </a:p>
        <a:p>
          <a:r>
            <a:rPr sz="700">
              <a:solidFill>
                <a:schemeClr val="tx1"/>
              </a:solidFill>
              <a:latin typeface="Century Gothic"/>
              <a:ea typeface="Century Gothic"/>
              <a:cs typeface="Century Gothic"/>
            </a:rPr>
            <a:t>  de Mercado del Sistema Financiero.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Grp="1"/>
        </xdr:cNvSpPr>
      </xdr:nvSpPr>
      <xdr:spPr>
        <a:xfrm>
          <a:off x="10182225" y="828675"/>
          <a:ext cx="304800" cy="304800"/>
        </a:xfrm>
        <a:prstGeom prst="rect">
          <a:avLst/>
        </a:prstGeom>
        <a:noFill/>
      </xdr:spPr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C1:C16">
  <autoFilter ref="C1:C16" xr:uid="{00000000-0009-0000-0100-000001000000}"/>
  <tableColumns count="1">
    <tableColumn id="1" xr3:uid="{00000000-0010-0000-0000-000001000000}" name="TE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2" displayName="Tabla2" ref="H1:Q6" totalsRowCount="1">
  <autoFilter ref="H1:Q5" xr:uid="{00000000-0009-0000-0100-000002000000}"/>
  <tableColumns count="10">
    <tableColumn id="1" xr3:uid="{00000000-0010-0000-0100-000001000000}" name="TC"/>
    <tableColumn id="2" xr3:uid="{00000000-0010-0000-0100-000002000000}" name="PPD"/>
    <tableColumn id="3" xr3:uid="{00000000-0010-0000-0100-000003000000}" name="Mes"/>
    <tableColumn id="4" xr3:uid="{00000000-0010-0000-0100-000004000000}" name="Columna1"/>
    <tableColumn id="5" xr3:uid="{00000000-0010-0000-0100-000005000000}" name="Columna2" totalsRowFunction="custom">
      <totalsRowFormula>+L2&gt;F9</totalsRowFormula>
    </tableColumn>
    <tableColumn id="6" xr3:uid="{00000000-0010-0000-0100-000006000000}" name="Columna3"/>
    <tableColumn id="7" xr3:uid="{00000000-0010-0000-0100-000007000000}" name="Columna4"/>
    <tableColumn id="8" xr3:uid="{00000000-0010-0000-0100-000008000000}" name="Columna5"/>
    <tableColumn id="9" xr3:uid="{00000000-0010-0000-0100-000009000000}" name="Columna6"/>
    <tableColumn id="10" xr3:uid="{00000000-0010-0000-0100-00000A000000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US123"/>
  <sheetViews>
    <sheetView showGridLines="0" tabSelected="1" workbookViewId="0"/>
  </sheetViews>
  <sheetFormatPr baseColWidth="10" defaultRowHeight="11.4"/>
  <cols>
    <col min="1" max="1" width="3.5546875" style="227" customWidth="1"/>
    <col min="2" max="2" width="18.88671875" style="227" customWidth="1"/>
    <col min="3" max="3" width="10.109375" style="227" customWidth="1"/>
    <col min="4" max="4" width="11.33203125" style="227" customWidth="1"/>
    <col min="5" max="5" width="14.88671875" style="227" customWidth="1"/>
    <col min="6" max="6" width="9" style="227" customWidth="1"/>
    <col min="7" max="7" width="10.109375" style="227" hidden="1" customWidth="1"/>
    <col min="8" max="8" width="10.44140625" style="227" customWidth="1"/>
    <col min="9" max="9" width="11.44140625" style="227" hidden="1" customWidth="1"/>
    <col min="10" max="10" width="7.5546875" style="227" hidden="1" customWidth="1"/>
    <col min="11" max="11" width="8.109375" style="227" hidden="1" customWidth="1"/>
    <col min="12" max="12" width="9" style="227" hidden="1" customWidth="1"/>
    <col min="13" max="13" width="6.88671875" style="227" hidden="1" customWidth="1"/>
    <col min="14" max="14" width="12.44140625" style="227" customWidth="1"/>
    <col min="15" max="15" width="8.44140625" style="227" customWidth="1"/>
    <col min="16" max="16" width="9.109375" style="228" customWidth="1"/>
    <col min="17" max="17" width="6.6640625" style="228" hidden="1" customWidth="1"/>
    <col min="18" max="18" width="9.5546875" style="228" hidden="1" customWidth="1"/>
    <col min="19" max="19" width="8.88671875" style="228" hidden="1" customWidth="1"/>
    <col min="20" max="20" width="4.109375" style="228" hidden="1" customWidth="1"/>
    <col min="21" max="22" width="2.44140625" style="229" hidden="1" customWidth="1"/>
    <col min="23" max="23" width="10.88671875" style="229" hidden="1" customWidth="1"/>
    <col min="24" max="24" width="4" style="229" hidden="1" customWidth="1"/>
    <col min="25" max="25" width="10.44140625" style="229" hidden="1" customWidth="1"/>
    <col min="26" max="26" width="11.44140625" style="229" hidden="1" customWidth="1"/>
    <col min="27" max="27" width="7.5546875" style="229" hidden="1" customWidth="1"/>
    <col min="28" max="28" width="22.44140625" style="229" hidden="1" customWidth="1"/>
    <col min="29" max="29" width="8.88671875" style="229" hidden="1" customWidth="1"/>
    <col min="30" max="30" width="10.88671875" style="229" hidden="1" customWidth="1"/>
    <col min="31" max="31" width="0" style="229" hidden="1" customWidth="1"/>
    <col min="32" max="32" width="11.44140625" style="229" customWidth="1"/>
    <col min="33" max="41" width="11.44140625" style="229" hidden="1"/>
    <col min="42" max="217" width="11.44140625" style="227" hidden="1"/>
    <col min="218" max="218" width="3.5546875" style="227" hidden="1"/>
    <col min="219" max="220" width="9" style="227" hidden="1"/>
    <col min="221" max="221" width="7" style="227" hidden="1"/>
    <col min="222" max="222" width="13.33203125" style="227" hidden="1"/>
    <col min="223" max="223" width="10" style="227" hidden="1"/>
    <col min="224" max="224" width="11.44140625" style="227" hidden="1"/>
    <col min="225" max="225" width="11.5546875" style="227" hidden="1"/>
    <col min="226" max="226" width="9.109375" style="227" hidden="1"/>
    <col min="227" max="228" width="9.44140625" style="227" hidden="1"/>
    <col min="229" max="229" width="10.88671875" style="227" hidden="1"/>
    <col min="230" max="231" width="9.5546875" style="227" hidden="1"/>
    <col min="232" max="232" width="10.33203125" style="227" hidden="1"/>
    <col min="233" max="233" width="3.109375" style="227" hidden="1"/>
    <col min="234" max="238" width="10.88671875" style="227" hidden="1"/>
    <col min="239" max="239" width="11.44140625" style="227" hidden="1"/>
    <col min="240" max="241" width="7.109375" style="227" hidden="1"/>
    <col min="242" max="473" width="11.44140625" style="227" hidden="1"/>
    <col min="474" max="474" width="3.5546875" style="227" hidden="1"/>
    <col min="475" max="476" width="9" style="227" hidden="1"/>
    <col min="477" max="477" width="7" style="227" hidden="1"/>
    <col min="478" max="478" width="13.33203125" style="227" hidden="1"/>
    <col min="479" max="479" width="10" style="227" hidden="1"/>
    <col min="480" max="480" width="11.44140625" style="227" hidden="1"/>
    <col min="481" max="481" width="11.5546875" style="227" hidden="1"/>
    <col min="482" max="482" width="9.109375" style="227" hidden="1"/>
    <col min="483" max="484" width="9.44140625" style="227" hidden="1"/>
    <col min="485" max="485" width="10.88671875" style="227" hidden="1"/>
    <col min="486" max="487" width="9.5546875" style="227" hidden="1"/>
    <col min="488" max="488" width="10.33203125" style="227" hidden="1"/>
    <col min="489" max="489" width="3.109375" style="227" hidden="1"/>
    <col min="490" max="494" width="10.88671875" style="227" hidden="1"/>
    <col min="495" max="495" width="11.44140625" style="227" hidden="1"/>
    <col min="496" max="497" width="7.109375" style="227" hidden="1"/>
    <col min="498" max="729" width="11.44140625" style="227" hidden="1"/>
    <col min="730" max="730" width="3.5546875" style="227" hidden="1"/>
    <col min="731" max="732" width="9" style="227" hidden="1"/>
    <col min="733" max="733" width="7" style="227" hidden="1"/>
    <col min="734" max="734" width="13.33203125" style="227" hidden="1"/>
    <col min="735" max="735" width="10" style="227" hidden="1"/>
    <col min="736" max="736" width="11.44140625" style="227" hidden="1"/>
    <col min="737" max="737" width="11.5546875" style="227" hidden="1"/>
    <col min="738" max="738" width="9.109375" style="227" hidden="1"/>
    <col min="739" max="740" width="9.44140625" style="227" hidden="1"/>
    <col min="741" max="741" width="10.88671875" style="227" hidden="1"/>
    <col min="742" max="743" width="9.5546875" style="227" hidden="1"/>
    <col min="744" max="744" width="10.33203125" style="227" hidden="1"/>
    <col min="745" max="745" width="3.109375" style="227" hidden="1"/>
    <col min="746" max="750" width="10.88671875" style="227" hidden="1"/>
    <col min="751" max="751" width="11.44140625" style="227" hidden="1"/>
    <col min="752" max="753" width="7.109375" style="227" hidden="1"/>
    <col min="754" max="985" width="11.44140625" style="227" hidden="1"/>
    <col min="986" max="986" width="3.5546875" style="227" hidden="1"/>
    <col min="987" max="988" width="9" style="227" hidden="1"/>
    <col min="989" max="989" width="7" style="227" hidden="1"/>
    <col min="990" max="990" width="13.33203125" style="227" hidden="1"/>
    <col min="991" max="991" width="10" style="227" hidden="1"/>
    <col min="992" max="992" width="11.44140625" style="227" hidden="1"/>
    <col min="993" max="993" width="11.5546875" style="227" hidden="1"/>
    <col min="994" max="994" width="9.109375" style="227" hidden="1"/>
    <col min="995" max="996" width="9.44140625" style="227" hidden="1"/>
    <col min="997" max="997" width="10.88671875" style="227" hidden="1"/>
    <col min="998" max="999" width="9.5546875" style="227" hidden="1"/>
    <col min="1000" max="1000" width="10.33203125" style="227" hidden="1"/>
    <col min="1001" max="1001" width="3.109375" style="227" hidden="1"/>
    <col min="1002" max="1006" width="10.88671875" style="227" hidden="1"/>
    <col min="1007" max="1007" width="11.44140625" style="227" hidden="1"/>
    <col min="1008" max="1009" width="7.109375" style="227" hidden="1"/>
    <col min="1010" max="1241" width="11.44140625" style="227" hidden="1"/>
    <col min="1242" max="1242" width="3.5546875" style="227" hidden="1"/>
    <col min="1243" max="1244" width="9" style="227" hidden="1"/>
    <col min="1245" max="1245" width="7" style="227" hidden="1"/>
    <col min="1246" max="1246" width="13.33203125" style="227" hidden="1"/>
    <col min="1247" max="1247" width="10" style="227" hidden="1"/>
    <col min="1248" max="1248" width="11.44140625" style="227" hidden="1"/>
    <col min="1249" max="1249" width="11.5546875" style="227" hidden="1"/>
    <col min="1250" max="1250" width="9.109375" style="227" hidden="1"/>
    <col min="1251" max="1252" width="9.44140625" style="227" hidden="1"/>
    <col min="1253" max="1253" width="10.88671875" style="227" hidden="1"/>
    <col min="1254" max="1255" width="9.5546875" style="227" hidden="1"/>
    <col min="1256" max="1256" width="10.33203125" style="227" hidden="1"/>
    <col min="1257" max="1257" width="3.109375" style="227" hidden="1"/>
    <col min="1258" max="1262" width="10.88671875" style="227" hidden="1"/>
    <col min="1263" max="1263" width="11.44140625" style="227" hidden="1"/>
    <col min="1264" max="1265" width="7.109375" style="227" hidden="1"/>
    <col min="1266" max="1497" width="11.44140625" style="227" hidden="1"/>
    <col min="1498" max="1498" width="3.5546875" style="227" hidden="1"/>
    <col min="1499" max="1500" width="9" style="227" hidden="1"/>
    <col min="1501" max="1501" width="7" style="227" hidden="1"/>
    <col min="1502" max="1502" width="13.33203125" style="227" hidden="1"/>
    <col min="1503" max="1503" width="10" style="227" hidden="1"/>
    <col min="1504" max="1504" width="11.44140625" style="227" hidden="1"/>
    <col min="1505" max="1505" width="11.5546875" style="227" hidden="1"/>
    <col min="1506" max="1506" width="9.109375" style="227" hidden="1"/>
    <col min="1507" max="1508" width="9.44140625" style="227" hidden="1"/>
    <col min="1509" max="1509" width="10.88671875" style="227" hidden="1"/>
    <col min="1510" max="1511" width="9.5546875" style="227" hidden="1"/>
    <col min="1512" max="1512" width="10.33203125" style="227" hidden="1"/>
    <col min="1513" max="1513" width="3.109375" style="227" hidden="1"/>
    <col min="1514" max="1518" width="10.88671875" style="227" hidden="1"/>
    <col min="1519" max="1519" width="11.44140625" style="227" hidden="1"/>
    <col min="1520" max="1521" width="7.109375" style="227" hidden="1"/>
    <col min="1522" max="1753" width="11.44140625" style="227" hidden="1"/>
    <col min="1754" max="1754" width="3.5546875" style="227" hidden="1"/>
    <col min="1755" max="1756" width="9" style="227" hidden="1"/>
    <col min="1757" max="1757" width="7" style="227" hidden="1"/>
    <col min="1758" max="1758" width="13.33203125" style="227" hidden="1"/>
    <col min="1759" max="1759" width="10" style="227" hidden="1"/>
    <col min="1760" max="1760" width="11.44140625" style="227" hidden="1"/>
    <col min="1761" max="1761" width="11.5546875" style="227" hidden="1"/>
    <col min="1762" max="1762" width="9.109375" style="227" hidden="1"/>
    <col min="1763" max="1764" width="9.44140625" style="227" hidden="1"/>
    <col min="1765" max="1765" width="10.88671875" style="227" hidden="1"/>
    <col min="1766" max="1767" width="9.5546875" style="227" hidden="1"/>
    <col min="1768" max="1768" width="10.33203125" style="227" hidden="1"/>
    <col min="1769" max="1769" width="3.109375" style="227" hidden="1"/>
    <col min="1770" max="1774" width="10.88671875" style="227" hidden="1"/>
    <col min="1775" max="1775" width="11.44140625" style="227" hidden="1"/>
    <col min="1776" max="1777" width="7.109375" style="227" hidden="1"/>
    <col min="1778" max="2009" width="11.44140625" style="227" hidden="1"/>
    <col min="2010" max="2010" width="3.5546875" style="227" hidden="1"/>
    <col min="2011" max="2012" width="9" style="227" hidden="1"/>
    <col min="2013" max="2013" width="7" style="227" hidden="1"/>
    <col min="2014" max="2014" width="13.33203125" style="227" hidden="1"/>
    <col min="2015" max="2015" width="10" style="227" hidden="1"/>
    <col min="2016" max="2016" width="11.44140625" style="227" hidden="1"/>
    <col min="2017" max="2017" width="11.5546875" style="227" hidden="1"/>
    <col min="2018" max="2018" width="9.109375" style="227" hidden="1"/>
    <col min="2019" max="2020" width="9.44140625" style="227" hidden="1"/>
    <col min="2021" max="2021" width="10.88671875" style="227" hidden="1"/>
    <col min="2022" max="2023" width="9.5546875" style="227" hidden="1"/>
    <col min="2024" max="2024" width="10.33203125" style="227" hidden="1"/>
    <col min="2025" max="2025" width="3.109375" style="227" hidden="1"/>
    <col min="2026" max="2030" width="10.88671875" style="227" hidden="1"/>
    <col min="2031" max="2031" width="11.44140625" style="227" hidden="1"/>
    <col min="2032" max="2033" width="7.109375" style="227" hidden="1"/>
    <col min="2034" max="2265" width="11.44140625" style="227" hidden="1"/>
    <col min="2266" max="2266" width="3.5546875" style="227" hidden="1"/>
    <col min="2267" max="2268" width="9" style="227" hidden="1"/>
    <col min="2269" max="2269" width="7" style="227" hidden="1"/>
    <col min="2270" max="2270" width="13.33203125" style="227" hidden="1"/>
    <col min="2271" max="2271" width="10" style="227" hidden="1"/>
    <col min="2272" max="2272" width="11.44140625" style="227" hidden="1"/>
    <col min="2273" max="2273" width="11.5546875" style="227" hidden="1"/>
    <col min="2274" max="2274" width="9.109375" style="227" hidden="1"/>
    <col min="2275" max="2276" width="9.44140625" style="227" hidden="1"/>
    <col min="2277" max="2277" width="10.88671875" style="227" hidden="1"/>
    <col min="2278" max="2279" width="9.5546875" style="227" hidden="1"/>
    <col min="2280" max="2280" width="10.33203125" style="227" hidden="1"/>
    <col min="2281" max="2281" width="3.109375" style="227" hidden="1"/>
    <col min="2282" max="2286" width="10.88671875" style="227" hidden="1"/>
    <col min="2287" max="2287" width="11.44140625" style="227" hidden="1"/>
    <col min="2288" max="2289" width="7.109375" style="227" hidden="1"/>
    <col min="2290" max="2521" width="11.44140625" style="227" hidden="1"/>
    <col min="2522" max="2522" width="3.5546875" style="227" hidden="1"/>
    <col min="2523" max="2524" width="9" style="227" hidden="1"/>
    <col min="2525" max="2525" width="7" style="227" hidden="1"/>
    <col min="2526" max="2526" width="13.33203125" style="227" hidden="1"/>
    <col min="2527" max="2527" width="10" style="227" hidden="1"/>
    <col min="2528" max="2528" width="11.44140625" style="227" hidden="1"/>
    <col min="2529" max="2529" width="11.5546875" style="227" hidden="1"/>
    <col min="2530" max="2530" width="9.109375" style="227" hidden="1"/>
    <col min="2531" max="2532" width="9.44140625" style="227" hidden="1"/>
    <col min="2533" max="2533" width="10.88671875" style="227" hidden="1"/>
    <col min="2534" max="2535" width="9.5546875" style="227" hidden="1"/>
    <col min="2536" max="2536" width="10.33203125" style="227" hidden="1"/>
    <col min="2537" max="2537" width="3.109375" style="227" hidden="1"/>
    <col min="2538" max="2542" width="10.88671875" style="227" hidden="1"/>
    <col min="2543" max="2543" width="11.44140625" style="227" hidden="1"/>
    <col min="2544" max="2545" width="7.109375" style="227" hidden="1"/>
    <col min="2546" max="2777" width="11.44140625" style="227" hidden="1"/>
    <col min="2778" max="2778" width="3.5546875" style="227" hidden="1"/>
    <col min="2779" max="2780" width="9" style="227" hidden="1"/>
    <col min="2781" max="2781" width="7" style="227" hidden="1"/>
    <col min="2782" max="2782" width="13.33203125" style="227" hidden="1"/>
    <col min="2783" max="2783" width="10" style="227" hidden="1"/>
    <col min="2784" max="2784" width="11.44140625" style="227" hidden="1"/>
    <col min="2785" max="2785" width="11.5546875" style="227" hidden="1"/>
    <col min="2786" max="2786" width="9.109375" style="227" hidden="1"/>
    <col min="2787" max="2788" width="9.44140625" style="227" hidden="1"/>
    <col min="2789" max="2789" width="10.88671875" style="227" hidden="1"/>
    <col min="2790" max="2791" width="9.5546875" style="227" hidden="1"/>
    <col min="2792" max="2792" width="10.33203125" style="227" hidden="1"/>
    <col min="2793" max="2793" width="3.109375" style="227" hidden="1"/>
    <col min="2794" max="2798" width="10.88671875" style="227" hidden="1"/>
    <col min="2799" max="2799" width="11.44140625" style="227" hidden="1"/>
    <col min="2800" max="2801" width="7.109375" style="227" hidden="1"/>
    <col min="2802" max="3033" width="11.44140625" style="227" hidden="1"/>
    <col min="3034" max="3034" width="3.5546875" style="227" hidden="1"/>
    <col min="3035" max="3036" width="9" style="227" hidden="1"/>
    <col min="3037" max="3037" width="7" style="227" hidden="1"/>
    <col min="3038" max="3038" width="13.33203125" style="227" hidden="1"/>
    <col min="3039" max="3039" width="10" style="227" hidden="1"/>
    <col min="3040" max="3040" width="11.44140625" style="227" hidden="1"/>
    <col min="3041" max="3041" width="11.5546875" style="227" hidden="1"/>
    <col min="3042" max="3042" width="9.109375" style="227" hidden="1"/>
    <col min="3043" max="3044" width="9.44140625" style="227" hidden="1"/>
    <col min="3045" max="3045" width="10.88671875" style="227" hidden="1"/>
    <col min="3046" max="3047" width="9.5546875" style="227" hidden="1"/>
    <col min="3048" max="3048" width="10.33203125" style="227" hidden="1"/>
    <col min="3049" max="3049" width="3.109375" style="227" hidden="1"/>
    <col min="3050" max="3054" width="10.88671875" style="227" hidden="1"/>
    <col min="3055" max="3055" width="11.44140625" style="227" hidden="1"/>
    <col min="3056" max="3057" width="7.109375" style="227" hidden="1"/>
    <col min="3058" max="3289" width="11.44140625" style="227" hidden="1"/>
    <col min="3290" max="3290" width="3.5546875" style="227" hidden="1"/>
    <col min="3291" max="3292" width="9" style="227" hidden="1"/>
    <col min="3293" max="3293" width="7" style="227" hidden="1"/>
    <col min="3294" max="3294" width="13.33203125" style="227" hidden="1"/>
    <col min="3295" max="3295" width="10" style="227" hidden="1"/>
    <col min="3296" max="3296" width="11.44140625" style="227" hidden="1"/>
    <col min="3297" max="3297" width="11.5546875" style="227" hidden="1"/>
    <col min="3298" max="3298" width="9.109375" style="227" hidden="1"/>
    <col min="3299" max="3300" width="9.44140625" style="227" hidden="1"/>
    <col min="3301" max="3301" width="10.88671875" style="227" hidden="1"/>
    <col min="3302" max="3303" width="9.5546875" style="227" hidden="1"/>
    <col min="3304" max="3304" width="10.33203125" style="227" hidden="1"/>
    <col min="3305" max="3305" width="3.109375" style="227" hidden="1"/>
    <col min="3306" max="3310" width="10.88671875" style="227" hidden="1"/>
    <col min="3311" max="3311" width="11.44140625" style="227" hidden="1"/>
    <col min="3312" max="3313" width="7.109375" style="227" hidden="1"/>
    <col min="3314" max="3545" width="11.44140625" style="227" hidden="1"/>
    <col min="3546" max="3546" width="3.5546875" style="227" hidden="1"/>
    <col min="3547" max="3548" width="9" style="227" hidden="1"/>
    <col min="3549" max="3549" width="7" style="227" hidden="1"/>
    <col min="3550" max="3550" width="13.33203125" style="227" hidden="1"/>
    <col min="3551" max="3551" width="10" style="227" hidden="1"/>
    <col min="3552" max="3552" width="11.44140625" style="227" hidden="1"/>
    <col min="3553" max="3553" width="11.5546875" style="227" hidden="1"/>
    <col min="3554" max="3554" width="9.109375" style="227" hidden="1"/>
    <col min="3555" max="3556" width="9.44140625" style="227" hidden="1"/>
    <col min="3557" max="3557" width="10.88671875" style="227" hidden="1"/>
    <col min="3558" max="3559" width="9.5546875" style="227" hidden="1"/>
    <col min="3560" max="3560" width="10.33203125" style="227" hidden="1"/>
    <col min="3561" max="3561" width="3.109375" style="227" hidden="1"/>
    <col min="3562" max="3566" width="10.88671875" style="227" hidden="1"/>
    <col min="3567" max="3567" width="11.44140625" style="227" hidden="1"/>
    <col min="3568" max="3569" width="7.109375" style="227" hidden="1"/>
    <col min="3570" max="3801" width="11.44140625" style="227" hidden="1"/>
    <col min="3802" max="3802" width="3.5546875" style="227" hidden="1"/>
    <col min="3803" max="3804" width="9" style="227" hidden="1"/>
    <col min="3805" max="3805" width="7" style="227" hidden="1"/>
    <col min="3806" max="3806" width="13.33203125" style="227" hidden="1"/>
    <col min="3807" max="3807" width="10" style="227" hidden="1"/>
    <col min="3808" max="3808" width="11.44140625" style="227" hidden="1"/>
    <col min="3809" max="3809" width="11.5546875" style="227" hidden="1"/>
    <col min="3810" max="3810" width="9.109375" style="227" hidden="1"/>
    <col min="3811" max="3812" width="9.44140625" style="227" hidden="1"/>
    <col min="3813" max="3813" width="10.88671875" style="227" hidden="1"/>
    <col min="3814" max="3815" width="9.5546875" style="227" hidden="1"/>
    <col min="3816" max="3816" width="10.33203125" style="227" hidden="1"/>
    <col min="3817" max="3817" width="3.109375" style="227" hidden="1"/>
    <col min="3818" max="3822" width="10.88671875" style="227" hidden="1"/>
    <col min="3823" max="3823" width="11.44140625" style="227" hidden="1"/>
    <col min="3824" max="3825" width="7.109375" style="227" hidden="1"/>
    <col min="3826" max="4057" width="11.44140625" style="227" hidden="1"/>
    <col min="4058" max="4058" width="3.5546875" style="227" hidden="1"/>
    <col min="4059" max="4060" width="9" style="227" hidden="1"/>
    <col min="4061" max="4061" width="7" style="227" hidden="1"/>
    <col min="4062" max="4062" width="13.33203125" style="227" hidden="1"/>
    <col min="4063" max="4063" width="10" style="227" hidden="1"/>
    <col min="4064" max="4064" width="11.44140625" style="227" hidden="1"/>
    <col min="4065" max="4065" width="11.5546875" style="227" hidden="1"/>
    <col min="4066" max="4066" width="9.109375" style="227" hidden="1"/>
    <col min="4067" max="4068" width="9.44140625" style="227" hidden="1"/>
    <col min="4069" max="4069" width="10.88671875" style="227" hidden="1"/>
    <col min="4070" max="4071" width="9.5546875" style="227" hidden="1"/>
    <col min="4072" max="4072" width="10.33203125" style="227" hidden="1"/>
    <col min="4073" max="4073" width="3.109375" style="227" hidden="1"/>
    <col min="4074" max="4078" width="10.88671875" style="227" hidden="1"/>
    <col min="4079" max="4079" width="11.44140625" style="227" hidden="1"/>
    <col min="4080" max="4081" width="7.109375" style="227" hidden="1"/>
    <col min="4082" max="4313" width="11.44140625" style="227" hidden="1"/>
    <col min="4314" max="4314" width="3.5546875" style="227" hidden="1"/>
    <col min="4315" max="4316" width="9" style="227" hidden="1"/>
    <col min="4317" max="4317" width="7" style="227" hidden="1"/>
    <col min="4318" max="4318" width="13.33203125" style="227" hidden="1"/>
    <col min="4319" max="4319" width="10" style="227" hidden="1"/>
    <col min="4320" max="4320" width="11.44140625" style="227" hidden="1"/>
    <col min="4321" max="4321" width="11.5546875" style="227" hidden="1"/>
    <col min="4322" max="4322" width="9.109375" style="227" hidden="1"/>
    <col min="4323" max="4324" width="9.44140625" style="227" hidden="1"/>
    <col min="4325" max="4325" width="10.88671875" style="227" hidden="1"/>
    <col min="4326" max="4327" width="9.5546875" style="227" hidden="1"/>
    <col min="4328" max="4328" width="10.33203125" style="227" hidden="1"/>
    <col min="4329" max="4329" width="3.109375" style="227" hidden="1"/>
    <col min="4330" max="4334" width="10.88671875" style="227" hidden="1"/>
    <col min="4335" max="4335" width="11.44140625" style="227" hidden="1"/>
    <col min="4336" max="4337" width="7.109375" style="227" hidden="1"/>
    <col min="4338" max="4569" width="11.44140625" style="227" hidden="1"/>
    <col min="4570" max="4570" width="3.5546875" style="227" hidden="1"/>
    <col min="4571" max="4572" width="9" style="227" hidden="1"/>
    <col min="4573" max="4573" width="7" style="227" hidden="1"/>
    <col min="4574" max="4574" width="13.33203125" style="227" hidden="1"/>
    <col min="4575" max="4575" width="10" style="227" hidden="1"/>
    <col min="4576" max="4576" width="11.44140625" style="227" hidden="1"/>
    <col min="4577" max="4577" width="11.5546875" style="227" hidden="1"/>
    <col min="4578" max="4578" width="9.109375" style="227" hidden="1"/>
    <col min="4579" max="4580" width="9.44140625" style="227" hidden="1"/>
    <col min="4581" max="4581" width="10.88671875" style="227" hidden="1"/>
    <col min="4582" max="4583" width="9.5546875" style="227" hidden="1"/>
    <col min="4584" max="4584" width="10.33203125" style="227" hidden="1"/>
    <col min="4585" max="4585" width="3.109375" style="227" hidden="1"/>
    <col min="4586" max="4590" width="10.88671875" style="227" hidden="1"/>
    <col min="4591" max="4591" width="11.44140625" style="227" hidden="1"/>
    <col min="4592" max="4593" width="7.109375" style="227" hidden="1"/>
    <col min="4594" max="4825" width="11.44140625" style="227" hidden="1"/>
    <col min="4826" max="4826" width="3.5546875" style="227" hidden="1"/>
    <col min="4827" max="4828" width="9" style="227" hidden="1"/>
    <col min="4829" max="4829" width="7" style="227" hidden="1"/>
    <col min="4830" max="4830" width="13.33203125" style="227" hidden="1"/>
    <col min="4831" max="4831" width="10" style="227" hidden="1"/>
    <col min="4832" max="4832" width="11.44140625" style="227" hidden="1"/>
    <col min="4833" max="4833" width="11.5546875" style="227" hidden="1"/>
    <col min="4834" max="4834" width="9.109375" style="227" hidden="1"/>
    <col min="4835" max="4836" width="9.44140625" style="227" hidden="1"/>
    <col min="4837" max="4837" width="10.88671875" style="227" hidden="1"/>
    <col min="4838" max="4839" width="9.5546875" style="227" hidden="1"/>
    <col min="4840" max="4840" width="10.33203125" style="227" hidden="1"/>
    <col min="4841" max="4841" width="3.109375" style="227" hidden="1"/>
    <col min="4842" max="4846" width="10.88671875" style="227" hidden="1"/>
    <col min="4847" max="4847" width="11.44140625" style="227" hidden="1"/>
    <col min="4848" max="4849" width="7.109375" style="227" hidden="1"/>
    <col min="4850" max="5081" width="11.44140625" style="227" hidden="1"/>
    <col min="5082" max="5082" width="3.5546875" style="227" hidden="1"/>
    <col min="5083" max="5084" width="9" style="227" hidden="1"/>
    <col min="5085" max="5085" width="7" style="227" hidden="1"/>
    <col min="5086" max="5086" width="13.33203125" style="227" hidden="1"/>
    <col min="5087" max="5087" width="10" style="227" hidden="1"/>
    <col min="5088" max="5088" width="11.44140625" style="227" hidden="1"/>
    <col min="5089" max="5089" width="11.5546875" style="227" hidden="1"/>
    <col min="5090" max="5090" width="9.109375" style="227" hidden="1"/>
    <col min="5091" max="5092" width="9.44140625" style="227" hidden="1"/>
    <col min="5093" max="5093" width="10.88671875" style="227" hidden="1"/>
    <col min="5094" max="5095" width="9.5546875" style="227" hidden="1"/>
    <col min="5096" max="5096" width="10.33203125" style="227" hidden="1"/>
    <col min="5097" max="5097" width="3.109375" style="227" hidden="1"/>
    <col min="5098" max="5102" width="10.88671875" style="227" hidden="1"/>
    <col min="5103" max="5103" width="11.44140625" style="227" hidden="1"/>
    <col min="5104" max="5105" width="7.109375" style="227" hidden="1"/>
    <col min="5106" max="5337" width="11.44140625" style="227" hidden="1"/>
    <col min="5338" max="5338" width="3.5546875" style="227" hidden="1"/>
    <col min="5339" max="5340" width="9" style="227" hidden="1"/>
    <col min="5341" max="5341" width="7" style="227" hidden="1"/>
    <col min="5342" max="5342" width="13.33203125" style="227" hidden="1"/>
    <col min="5343" max="5343" width="10" style="227" hidden="1"/>
    <col min="5344" max="5344" width="11.44140625" style="227" hidden="1"/>
    <col min="5345" max="5345" width="11.5546875" style="227" hidden="1"/>
    <col min="5346" max="5346" width="9.109375" style="227" hidden="1"/>
    <col min="5347" max="5348" width="9.44140625" style="227" hidden="1"/>
    <col min="5349" max="5349" width="10.88671875" style="227" hidden="1"/>
    <col min="5350" max="5351" width="9.5546875" style="227" hidden="1"/>
    <col min="5352" max="5352" width="10.33203125" style="227" hidden="1"/>
    <col min="5353" max="5353" width="3.109375" style="227" hidden="1"/>
    <col min="5354" max="5358" width="10.88671875" style="227" hidden="1"/>
    <col min="5359" max="5359" width="11.44140625" style="227" hidden="1"/>
    <col min="5360" max="5361" width="7.109375" style="227" hidden="1"/>
    <col min="5362" max="5593" width="11.44140625" style="227" hidden="1"/>
    <col min="5594" max="5594" width="3.5546875" style="227" hidden="1"/>
    <col min="5595" max="5596" width="9" style="227" hidden="1"/>
    <col min="5597" max="5597" width="7" style="227" hidden="1"/>
    <col min="5598" max="5598" width="13.33203125" style="227" hidden="1"/>
    <col min="5599" max="5599" width="10" style="227" hidden="1"/>
    <col min="5600" max="5600" width="11.44140625" style="227" hidden="1"/>
    <col min="5601" max="5601" width="11.5546875" style="227" hidden="1"/>
    <col min="5602" max="5602" width="9.109375" style="227" hidden="1"/>
    <col min="5603" max="5604" width="9.44140625" style="227" hidden="1"/>
    <col min="5605" max="5605" width="10.88671875" style="227" hidden="1"/>
    <col min="5606" max="5607" width="9.5546875" style="227" hidden="1"/>
    <col min="5608" max="5608" width="10.33203125" style="227" hidden="1"/>
    <col min="5609" max="5609" width="3.109375" style="227" hidden="1"/>
    <col min="5610" max="5614" width="10.88671875" style="227" hidden="1"/>
    <col min="5615" max="5615" width="11.44140625" style="227" hidden="1"/>
    <col min="5616" max="5617" width="7.109375" style="227" hidden="1"/>
    <col min="5618" max="5849" width="11.44140625" style="227" hidden="1"/>
    <col min="5850" max="5850" width="3.5546875" style="227" hidden="1"/>
    <col min="5851" max="5852" width="9" style="227" hidden="1"/>
    <col min="5853" max="5853" width="7" style="227" hidden="1"/>
    <col min="5854" max="5854" width="13.33203125" style="227" hidden="1"/>
    <col min="5855" max="5855" width="10" style="227" hidden="1"/>
    <col min="5856" max="5856" width="11.44140625" style="227" hidden="1"/>
    <col min="5857" max="5857" width="11.5546875" style="227" hidden="1"/>
    <col min="5858" max="5858" width="9.109375" style="227" hidden="1"/>
    <col min="5859" max="5860" width="9.44140625" style="227" hidden="1"/>
    <col min="5861" max="5861" width="10.88671875" style="227" hidden="1"/>
    <col min="5862" max="5863" width="9.5546875" style="227" hidden="1"/>
    <col min="5864" max="5864" width="10.33203125" style="227" hidden="1"/>
    <col min="5865" max="5865" width="3.109375" style="227" hidden="1"/>
    <col min="5866" max="5870" width="10.88671875" style="227" hidden="1"/>
    <col min="5871" max="5871" width="11.44140625" style="227" hidden="1"/>
    <col min="5872" max="5873" width="7.109375" style="227" hidden="1"/>
    <col min="5874" max="6105" width="11.44140625" style="227" hidden="1"/>
    <col min="6106" max="6106" width="3.5546875" style="227" hidden="1"/>
    <col min="6107" max="6108" width="9" style="227" hidden="1"/>
    <col min="6109" max="6109" width="7" style="227" hidden="1"/>
    <col min="6110" max="6110" width="13.33203125" style="227" hidden="1"/>
    <col min="6111" max="6111" width="10" style="227" hidden="1"/>
    <col min="6112" max="6112" width="11.44140625" style="227" hidden="1"/>
    <col min="6113" max="6113" width="11.5546875" style="227" hidden="1"/>
    <col min="6114" max="6114" width="9.109375" style="227" hidden="1"/>
    <col min="6115" max="6116" width="9.44140625" style="227" hidden="1"/>
    <col min="6117" max="6117" width="10.88671875" style="227" hidden="1"/>
    <col min="6118" max="6119" width="9.5546875" style="227" hidden="1"/>
    <col min="6120" max="6120" width="10.33203125" style="227" hidden="1"/>
    <col min="6121" max="6121" width="3.109375" style="227" hidden="1"/>
    <col min="6122" max="6126" width="10.88671875" style="227" hidden="1"/>
    <col min="6127" max="6127" width="11.44140625" style="227" hidden="1"/>
    <col min="6128" max="6129" width="7.109375" style="227" hidden="1"/>
    <col min="6130" max="6361" width="11.44140625" style="227" hidden="1"/>
    <col min="6362" max="6362" width="3.5546875" style="227" hidden="1"/>
    <col min="6363" max="6364" width="9" style="227" hidden="1"/>
    <col min="6365" max="6365" width="7" style="227" hidden="1"/>
    <col min="6366" max="6366" width="13.33203125" style="227" hidden="1"/>
    <col min="6367" max="6367" width="10" style="227" hidden="1"/>
    <col min="6368" max="6368" width="11.44140625" style="227" hidden="1"/>
    <col min="6369" max="6369" width="11.5546875" style="227" hidden="1"/>
    <col min="6370" max="6370" width="9.109375" style="227" hidden="1"/>
    <col min="6371" max="6372" width="9.44140625" style="227" hidden="1"/>
    <col min="6373" max="6373" width="10.88671875" style="227" hidden="1"/>
    <col min="6374" max="6375" width="9.5546875" style="227" hidden="1"/>
    <col min="6376" max="6376" width="10.33203125" style="227" hidden="1"/>
    <col min="6377" max="6377" width="3.109375" style="227" hidden="1"/>
    <col min="6378" max="6382" width="10.88671875" style="227" hidden="1"/>
    <col min="6383" max="6383" width="11.44140625" style="227" hidden="1"/>
    <col min="6384" max="6385" width="7.109375" style="227" hidden="1"/>
    <col min="6386" max="6617" width="11.44140625" style="227" hidden="1"/>
    <col min="6618" max="6618" width="3.5546875" style="227" hidden="1"/>
    <col min="6619" max="6620" width="9" style="227" hidden="1"/>
    <col min="6621" max="6621" width="7" style="227" hidden="1"/>
    <col min="6622" max="6622" width="13.33203125" style="227" hidden="1"/>
    <col min="6623" max="6623" width="10" style="227" hidden="1"/>
    <col min="6624" max="6624" width="11.44140625" style="227" hidden="1"/>
    <col min="6625" max="6625" width="11.5546875" style="227" hidden="1"/>
    <col min="6626" max="6626" width="9.109375" style="227" hidden="1"/>
    <col min="6627" max="6628" width="9.44140625" style="227" hidden="1"/>
    <col min="6629" max="6629" width="10.88671875" style="227" hidden="1"/>
    <col min="6630" max="6631" width="9.5546875" style="227" hidden="1"/>
    <col min="6632" max="6632" width="10.33203125" style="227" hidden="1"/>
    <col min="6633" max="6633" width="3.109375" style="227" hidden="1"/>
    <col min="6634" max="6638" width="10.88671875" style="227" hidden="1"/>
    <col min="6639" max="6639" width="11.44140625" style="227" hidden="1"/>
    <col min="6640" max="6641" width="7.109375" style="227" hidden="1"/>
    <col min="6642" max="6873" width="11.44140625" style="227" hidden="1"/>
    <col min="6874" max="6874" width="3.5546875" style="227" hidden="1"/>
    <col min="6875" max="6876" width="9" style="227" hidden="1"/>
    <col min="6877" max="6877" width="7" style="227" hidden="1"/>
    <col min="6878" max="6878" width="13.33203125" style="227" hidden="1"/>
    <col min="6879" max="6879" width="10" style="227" hidden="1"/>
    <col min="6880" max="6880" width="11.44140625" style="227" hidden="1"/>
    <col min="6881" max="6881" width="11.5546875" style="227" hidden="1"/>
    <col min="6882" max="6882" width="9.109375" style="227" hidden="1"/>
    <col min="6883" max="6884" width="9.44140625" style="227" hidden="1"/>
    <col min="6885" max="6885" width="10.88671875" style="227" hidden="1"/>
    <col min="6886" max="6887" width="9.5546875" style="227" hidden="1"/>
    <col min="6888" max="6888" width="10.33203125" style="227" hidden="1"/>
    <col min="6889" max="6889" width="3.109375" style="227" hidden="1"/>
    <col min="6890" max="6894" width="10.88671875" style="227" hidden="1"/>
    <col min="6895" max="6895" width="11.44140625" style="227" hidden="1"/>
    <col min="6896" max="6897" width="7.109375" style="227" hidden="1"/>
    <col min="6898" max="7129" width="11.44140625" style="227" hidden="1"/>
    <col min="7130" max="7130" width="3.5546875" style="227" hidden="1"/>
    <col min="7131" max="7132" width="9" style="227" hidden="1"/>
    <col min="7133" max="7133" width="7" style="227" hidden="1"/>
    <col min="7134" max="7134" width="13.33203125" style="227" hidden="1"/>
    <col min="7135" max="7135" width="10" style="227" hidden="1"/>
    <col min="7136" max="7136" width="11.44140625" style="227" hidden="1"/>
    <col min="7137" max="7137" width="11.5546875" style="227" hidden="1"/>
    <col min="7138" max="7138" width="9.109375" style="227" hidden="1"/>
    <col min="7139" max="7140" width="9.44140625" style="227" hidden="1"/>
    <col min="7141" max="7141" width="10.88671875" style="227" hidden="1"/>
    <col min="7142" max="7143" width="9.5546875" style="227" hidden="1"/>
    <col min="7144" max="7144" width="10.33203125" style="227" hidden="1"/>
    <col min="7145" max="7145" width="3.109375" style="227" hidden="1"/>
    <col min="7146" max="7150" width="10.88671875" style="227" hidden="1"/>
    <col min="7151" max="7151" width="11.44140625" style="227" hidden="1"/>
    <col min="7152" max="7153" width="7.109375" style="227" hidden="1"/>
    <col min="7154" max="7385" width="11.44140625" style="227" hidden="1"/>
    <col min="7386" max="7386" width="3.5546875" style="227" hidden="1"/>
    <col min="7387" max="7388" width="9" style="227" hidden="1"/>
    <col min="7389" max="7389" width="7" style="227" hidden="1"/>
    <col min="7390" max="7390" width="13.33203125" style="227" hidden="1"/>
    <col min="7391" max="7391" width="10" style="227" hidden="1"/>
    <col min="7392" max="7392" width="11.44140625" style="227" hidden="1"/>
    <col min="7393" max="7393" width="11.5546875" style="227" hidden="1"/>
    <col min="7394" max="7394" width="9.109375" style="227" hidden="1"/>
    <col min="7395" max="7396" width="9.44140625" style="227" hidden="1"/>
    <col min="7397" max="7397" width="10.88671875" style="227" hidden="1"/>
    <col min="7398" max="7399" width="9.5546875" style="227" hidden="1"/>
    <col min="7400" max="7400" width="10.33203125" style="227" hidden="1"/>
    <col min="7401" max="7401" width="3.109375" style="227" hidden="1"/>
    <col min="7402" max="7406" width="10.88671875" style="227" hidden="1"/>
    <col min="7407" max="7407" width="11.44140625" style="227" hidden="1"/>
    <col min="7408" max="7409" width="7.109375" style="227" hidden="1"/>
    <col min="7410" max="7641" width="11.44140625" style="227" hidden="1"/>
    <col min="7642" max="7642" width="3.5546875" style="227" hidden="1"/>
    <col min="7643" max="7644" width="9" style="227" hidden="1"/>
    <col min="7645" max="7645" width="7" style="227" hidden="1"/>
    <col min="7646" max="7646" width="13.33203125" style="227" hidden="1"/>
    <col min="7647" max="7647" width="10" style="227" hidden="1"/>
    <col min="7648" max="7648" width="11.44140625" style="227" hidden="1"/>
    <col min="7649" max="7649" width="11.5546875" style="227" hidden="1"/>
    <col min="7650" max="7650" width="9.109375" style="227" hidden="1"/>
    <col min="7651" max="7652" width="9.44140625" style="227" hidden="1"/>
    <col min="7653" max="7653" width="10.88671875" style="227" hidden="1"/>
    <col min="7654" max="7655" width="9.5546875" style="227" hidden="1"/>
    <col min="7656" max="7656" width="10.33203125" style="227" hidden="1"/>
    <col min="7657" max="7657" width="3.109375" style="227" hidden="1"/>
    <col min="7658" max="7662" width="10.88671875" style="227" hidden="1"/>
    <col min="7663" max="7663" width="11.44140625" style="227" hidden="1"/>
    <col min="7664" max="7665" width="7.109375" style="227" hidden="1"/>
    <col min="7666" max="7897" width="11.44140625" style="227" hidden="1"/>
    <col min="7898" max="7898" width="3.5546875" style="227" hidden="1"/>
    <col min="7899" max="7900" width="9" style="227" hidden="1"/>
    <col min="7901" max="7901" width="7" style="227" hidden="1"/>
    <col min="7902" max="7902" width="13.33203125" style="227" hidden="1"/>
    <col min="7903" max="7903" width="10" style="227" hidden="1"/>
    <col min="7904" max="7904" width="11.44140625" style="227" hidden="1"/>
    <col min="7905" max="7905" width="11.5546875" style="227" hidden="1"/>
    <col min="7906" max="7906" width="9.109375" style="227" hidden="1"/>
    <col min="7907" max="7908" width="9.44140625" style="227" hidden="1"/>
    <col min="7909" max="7909" width="10.88671875" style="227" hidden="1"/>
    <col min="7910" max="7911" width="9.5546875" style="227" hidden="1"/>
    <col min="7912" max="7912" width="10.33203125" style="227" hidden="1"/>
    <col min="7913" max="7913" width="3.109375" style="227" hidden="1"/>
    <col min="7914" max="7918" width="10.88671875" style="227" hidden="1"/>
    <col min="7919" max="7919" width="11.44140625" style="227" hidden="1"/>
    <col min="7920" max="7921" width="7.109375" style="227" hidden="1"/>
    <col min="7922" max="8153" width="11.44140625" style="227" hidden="1"/>
    <col min="8154" max="8154" width="3.5546875" style="227" hidden="1"/>
    <col min="8155" max="8156" width="9" style="227" hidden="1"/>
    <col min="8157" max="8157" width="7" style="227" hidden="1"/>
    <col min="8158" max="8158" width="13.33203125" style="227" hidden="1"/>
    <col min="8159" max="8159" width="10" style="227" hidden="1"/>
    <col min="8160" max="8160" width="11.44140625" style="227" hidden="1"/>
    <col min="8161" max="8161" width="11.5546875" style="227" hidden="1"/>
    <col min="8162" max="8162" width="9.109375" style="227" hidden="1"/>
    <col min="8163" max="8164" width="9.44140625" style="227" hidden="1"/>
    <col min="8165" max="8165" width="10.88671875" style="227" hidden="1"/>
    <col min="8166" max="8167" width="9.5546875" style="227" hidden="1"/>
    <col min="8168" max="8168" width="10.33203125" style="227" hidden="1"/>
    <col min="8169" max="8169" width="3.109375" style="227" hidden="1"/>
    <col min="8170" max="8174" width="10.88671875" style="227" hidden="1"/>
    <col min="8175" max="8175" width="11.44140625" style="227" hidden="1"/>
    <col min="8176" max="8177" width="7.109375" style="227" hidden="1"/>
    <col min="8178" max="8409" width="11.44140625" style="227" hidden="1"/>
    <col min="8410" max="8410" width="3.5546875" style="227" hidden="1"/>
    <col min="8411" max="8412" width="9" style="227" hidden="1"/>
    <col min="8413" max="8413" width="7" style="227" hidden="1"/>
    <col min="8414" max="8414" width="13.33203125" style="227" hidden="1"/>
    <col min="8415" max="8415" width="10" style="227" hidden="1"/>
    <col min="8416" max="8416" width="11.44140625" style="227" hidden="1"/>
    <col min="8417" max="8417" width="11.5546875" style="227" hidden="1"/>
    <col min="8418" max="8418" width="9.109375" style="227" hidden="1"/>
    <col min="8419" max="8420" width="9.44140625" style="227" hidden="1"/>
    <col min="8421" max="8421" width="10.88671875" style="227" hidden="1"/>
    <col min="8422" max="8423" width="9.5546875" style="227" hidden="1"/>
    <col min="8424" max="8424" width="10.33203125" style="227" hidden="1"/>
    <col min="8425" max="8425" width="3.109375" style="227" hidden="1"/>
    <col min="8426" max="8430" width="10.88671875" style="227" hidden="1"/>
    <col min="8431" max="8431" width="11.44140625" style="227" hidden="1"/>
    <col min="8432" max="8433" width="7.109375" style="227" hidden="1"/>
    <col min="8434" max="8665" width="11.44140625" style="227" hidden="1"/>
    <col min="8666" max="8666" width="3.5546875" style="227" hidden="1"/>
    <col min="8667" max="8668" width="9" style="227" hidden="1"/>
    <col min="8669" max="8669" width="7" style="227" hidden="1"/>
    <col min="8670" max="8670" width="13.33203125" style="227" hidden="1"/>
    <col min="8671" max="8671" width="10" style="227" hidden="1"/>
    <col min="8672" max="8672" width="11.44140625" style="227" hidden="1"/>
    <col min="8673" max="8673" width="11.5546875" style="227" hidden="1"/>
    <col min="8674" max="8674" width="9.109375" style="227" hidden="1"/>
    <col min="8675" max="8676" width="9.44140625" style="227" hidden="1"/>
    <col min="8677" max="8677" width="10.88671875" style="227" hidden="1"/>
    <col min="8678" max="8679" width="9.5546875" style="227" hidden="1"/>
    <col min="8680" max="8680" width="10.33203125" style="227" hidden="1"/>
    <col min="8681" max="8681" width="3.109375" style="227" hidden="1"/>
    <col min="8682" max="8686" width="10.88671875" style="227" hidden="1"/>
    <col min="8687" max="8687" width="11.44140625" style="227" hidden="1"/>
    <col min="8688" max="8689" width="7.109375" style="227" hidden="1"/>
    <col min="8690" max="8921" width="11.44140625" style="227" hidden="1"/>
    <col min="8922" max="8922" width="3.5546875" style="227" hidden="1"/>
    <col min="8923" max="8924" width="9" style="227" hidden="1"/>
    <col min="8925" max="8925" width="7" style="227" hidden="1"/>
    <col min="8926" max="8926" width="13.33203125" style="227" hidden="1"/>
    <col min="8927" max="8927" width="10" style="227" hidden="1"/>
    <col min="8928" max="8928" width="11.44140625" style="227" hidden="1"/>
    <col min="8929" max="8929" width="11.5546875" style="227" hidden="1"/>
    <col min="8930" max="8930" width="9.109375" style="227" hidden="1"/>
    <col min="8931" max="8932" width="9.44140625" style="227" hidden="1"/>
    <col min="8933" max="8933" width="10.88671875" style="227" hidden="1"/>
    <col min="8934" max="8935" width="9.5546875" style="227" hidden="1"/>
    <col min="8936" max="8936" width="10.33203125" style="227" hidden="1"/>
    <col min="8937" max="8937" width="3.109375" style="227" hidden="1"/>
    <col min="8938" max="8942" width="10.88671875" style="227" hidden="1"/>
    <col min="8943" max="8943" width="11.44140625" style="227" hidden="1"/>
    <col min="8944" max="8945" width="7.109375" style="227" hidden="1"/>
    <col min="8946" max="9177" width="11.44140625" style="227" hidden="1"/>
    <col min="9178" max="9178" width="3.5546875" style="227" hidden="1"/>
    <col min="9179" max="9180" width="9" style="227" hidden="1"/>
    <col min="9181" max="9181" width="7" style="227" hidden="1"/>
    <col min="9182" max="9182" width="13.33203125" style="227" hidden="1"/>
    <col min="9183" max="9183" width="10" style="227" hidden="1"/>
    <col min="9184" max="9184" width="11.44140625" style="227" hidden="1"/>
    <col min="9185" max="9185" width="11.5546875" style="227" hidden="1"/>
    <col min="9186" max="9186" width="9.109375" style="227" hidden="1"/>
    <col min="9187" max="9188" width="9.44140625" style="227" hidden="1"/>
    <col min="9189" max="9189" width="10.88671875" style="227" hidden="1"/>
    <col min="9190" max="9191" width="9.5546875" style="227" hidden="1"/>
    <col min="9192" max="9192" width="10.33203125" style="227" hidden="1"/>
    <col min="9193" max="9193" width="3.109375" style="227" hidden="1"/>
    <col min="9194" max="9198" width="10.88671875" style="227" hidden="1"/>
    <col min="9199" max="9199" width="11.44140625" style="227" hidden="1"/>
    <col min="9200" max="9201" width="7.109375" style="227" hidden="1"/>
    <col min="9202" max="9433" width="11.44140625" style="227" hidden="1"/>
    <col min="9434" max="9434" width="3.5546875" style="227" hidden="1"/>
    <col min="9435" max="9436" width="9" style="227" hidden="1"/>
    <col min="9437" max="9437" width="7" style="227" hidden="1"/>
    <col min="9438" max="9438" width="13.33203125" style="227" hidden="1"/>
    <col min="9439" max="9439" width="10" style="227" hidden="1"/>
    <col min="9440" max="9440" width="11.44140625" style="227" hidden="1"/>
    <col min="9441" max="9441" width="11.5546875" style="227" hidden="1"/>
    <col min="9442" max="9442" width="9.109375" style="227" hidden="1"/>
    <col min="9443" max="9444" width="9.44140625" style="227" hidden="1"/>
    <col min="9445" max="9445" width="10.88671875" style="227" hidden="1"/>
    <col min="9446" max="9447" width="9.5546875" style="227" hidden="1"/>
    <col min="9448" max="9448" width="10.33203125" style="227" hidden="1"/>
    <col min="9449" max="9449" width="3.109375" style="227" hidden="1"/>
    <col min="9450" max="9454" width="10.88671875" style="227" hidden="1"/>
    <col min="9455" max="9455" width="11.44140625" style="227" hidden="1"/>
    <col min="9456" max="9457" width="7.109375" style="227" hidden="1"/>
    <col min="9458" max="9689" width="11.44140625" style="227" hidden="1"/>
    <col min="9690" max="9690" width="3.5546875" style="227" hidden="1"/>
    <col min="9691" max="9692" width="9" style="227" hidden="1"/>
    <col min="9693" max="9693" width="7" style="227" hidden="1"/>
    <col min="9694" max="9694" width="13.33203125" style="227" hidden="1"/>
    <col min="9695" max="9695" width="10" style="227" hidden="1"/>
    <col min="9696" max="9696" width="11.44140625" style="227" hidden="1"/>
    <col min="9697" max="9697" width="11.5546875" style="227" hidden="1"/>
    <col min="9698" max="9698" width="9.109375" style="227" hidden="1"/>
    <col min="9699" max="9700" width="9.44140625" style="227" hidden="1"/>
    <col min="9701" max="9701" width="10.88671875" style="227" hidden="1"/>
    <col min="9702" max="9703" width="9.5546875" style="227" hidden="1"/>
    <col min="9704" max="9704" width="10.33203125" style="227" hidden="1"/>
    <col min="9705" max="9705" width="3.109375" style="227" hidden="1"/>
    <col min="9706" max="9710" width="10.88671875" style="227" hidden="1"/>
    <col min="9711" max="9711" width="11.44140625" style="227" hidden="1"/>
    <col min="9712" max="9713" width="7.109375" style="227" hidden="1"/>
    <col min="9714" max="9945" width="11.44140625" style="227" hidden="1"/>
    <col min="9946" max="9946" width="3.5546875" style="227" hidden="1"/>
    <col min="9947" max="9948" width="9" style="227" hidden="1"/>
    <col min="9949" max="9949" width="7" style="227" hidden="1"/>
    <col min="9950" max="9950" width="13.33203125" style="227" hidden="1"/>
    <col min="9951" max="9951" width="10" style="227" hidden="1"/>
    <col min="9952" max="9952" width="11.44140625" style="227" hidden="1"/>
    <col min="9953" max="9953" width="11.5546875" style="227" hidden="1"/>
    <col min="9954" max="9954" width="9.109375" style="227" hidden="1"/>
    <col min="9955" max="9956" width="9.44140625" style="227" hidden="1"/>
    <col min="9957" max="9957" width="10.88671875" style="227" hidden="1"/>
    <col min="9958" max="9959" width="9.5546875" style="227" hidden="1"/>
    <col min="9960" max="9960" width="10.33203125" style="227" hidden="1"/>
    <col min="9961" max="9961" width="3.109375" style="227" hidden="1"/>
    <col min="9962" max="9966" width="10.88671875" style="227" hidden="1"/>
    <col min="9967" max="9967" width="11.44140625" style="227" hidden="1"/>
    <col min="9968" max="9969" width="7.109375" style="227" hidden="1"/>
    <col min="9970" max="10201" width="11.44140625" style="227" hidden="1"/>
    <col min="10202" max="10202" width="3.5546875" style="227" hidden="1"/>
    <col min="10203" max="10204" width="9" style="227" hidden="1"/>
    <col min="10205" max="10205" width="7" style="227" hidden="1"/>
    <col min="10206" max="10206" width="13.33203125" style="227" hidden="1"/>
    <col min="10207" max="10207" width="10" style="227" hidden="1"/>
    <col min="10208" max="10208" width="11.44140625" style="227" hidden="1"/>
    <col min="10209" max="10209" width="11.5546875" style="227" hidden="1"/>
    <col min="10210" max="10210" width="9.109375" style="227" hidden="1"/>
    <col min="10211" max="10212" width="9.44140625" style="227" hidden="1"/>
    <col min="10213" max="10213" width="10.88671875" style="227" hidden="1"/>
    <col min="10214" max="10215" width="9.5546875" style="227" hidden="1"/>
    <col min="10216" max="10216" width="10.33203125" style="227" hidden="1"/>
    <col min="10217" max="10217" width="3.109375" style="227" hidden="1"/>
    <col min="10218" max="10222" width="10.88671875" style="227" hidden="1"/>
    <col min="10223" max="10223" width="11.44140625" style="227" hidden="1"/>
    <col min="10224" max="10225" width="7.109375" style="227" hidden="1"/>
    <col min="10226" max="10457" width="11.44140625" style="227" hidden="1"/>
    <col min="10458" max="10458" width="3.5546875" style="227" hidden="1"/>
    <col min="10459" max="10460" width="9" style="227" hidden="1"/>
    <col min="10461" max="10461" width="7" style="227" hidden="1"/>
    <col min="10462" max="10462" width="13.33203125" style="227" hidden="1"/>
    <col min="10463" max="10463" width="10" style="227" hidden="1"/>
    <col min="10464" max="10464" width="11.44140625" style="227" hidden="1"/>
    <col min="10465" max="10465" width="11.5546875" style="227" hidden="1"/>
    <col min="10466" max="10466" width="9.109375" style="227" hidden="1"/>
    <col min="10467" max="10468" width="9.44140625" style="227" hidden="1"/>
    <col min="10469" max="10469" width="10.88671875" style="227" hidden="1"/>
    <col min="10470" max="10471" width="9.5546875" style="227" hidden="1"/>
    <col min="10472" max="10472" width="10.33203125" style="227" hidden="1"/>
    <col min="10473" max="10473" width="3.109375" style="227" hidden="1"/>
    <col min="10474" max="10478" width="10.88671875" style="227" hidden="1"/>
    <col min="10479" max="10479" width="11.44140625" style="227" hidden="1"/>
    <col min="10480" max="10481" width="7.109375" style="227" hidden="1"/>
    <col min="10482" max="10713" width="11.44140625" style="227" hidden="1"/>
    <col min="10714" max="10714" width="3.5546875" style="227" hidden="1"/>
    <col min="10715" max="10716" width="9" style="227" hidden="1"/>
    <col min="10717" max="10717" width="7" style="227" hidden="1"/>
    <col min="10718" max="10718" width="13.33203125" style="227" hidden="1"/>
    <col min="10719" max="10719" width="10" style="227" hidden="1"/>
    <col min="10720" max="10720" width="11.44140625" style="227" hidden="1"/>
    <col min="10721" max="10721" width="11.5546875" style="227" hidden="1"/>
    <col min="10722" max="10722" width="9.109375" style="227" hidden="1"/>
    <col min="10723" max="10724" width="9.44140625" style="227" hidden="1"/>
    <col min="10725" max="10725" width="10.88671875" style="227" hidden="1"/>
    <col min="10726" max="10727" width="9.5546875" style="227" hidden="1"/>
    <col min="10728" max="10728" width="10.33203125" style="227" hidden="1"/>
    <col min="10729" max="10729" width="3.109375" style="227" hidden="1"/>
    <col min="10730" max="10734" width="10.88671875" style="227" hidden="1"/>
    <col min="10735" max="10735" width="11.44140625" style="227" hidden="1"/>
    <col min="10736" max="10737" width="7.109375" style="227" hidden="1"/>
    <col min="10738" max="10969" width="11.44140625" style="227" hidden="1"/>
    <col min="10970" max="10970" width="3.5546875" style="227" hidden="1"/>
    <col min="10971" max="10972" width="9" style="227" hidden="1"/>
    <col min="10973" max="10973" width="7" style="227" hidden="1"/>
    <col min="10974" max="10974" width="13.33203125" style="227" hidden="1"/>
    <col min="10975" max="10975" width="10" style="227" hidden="1"/>
    <col min="10976" max="10976" width="11.44140625" style="227" hidden="1"/>
    <col min="10977" max="10977" width="11.5546875" style="227" hidden="1"/>
    <col min="10978" max="10978" width="9.109375" style="227" hidden="1"/>
    <col min="10979" max="10980" width="9.44140625" style="227" hidden="1"/>
    <col min="10981" max="10981" width="10.88671875" style="227" hidden="1"/>
    <col min="10982" max="10983" width="9.5546875" style="227" hidden="1"/>
    <col min="10984" max="10984" width="10.33203125" style="227" hidden="1"/>
    <col min="10985" max="10985" width="3.109375" style="227" hidden="1"/>
    <col min="10986" max="10990" width="10.88671875" style="227" hidden="1"/>
    <col min="10991" max="10991" width="11.44140625" style="227" hidden="1"/>
    <col min="10992" max="10993" width="7.109375" style="227" hidden="1"/>
    <col min="10994" max="11225" width="11.44140625" style="227" hidden="1"/>
    <col min="11226" max="11226" width="3.5546875" style="227" hidden="1"/>
    <col min="11227" max="11228" width="9" style="227" hidden="1"/>
    <col min="11229" max="11229" width="7" style="227" hidden="1"/>
    <col min="11230" max="11230" width="13.33203125" style="227" hidden="1"/>
    <col min="11231" max="11231" width="10" style="227" hidden="1"/>
    <col min="11232" max="11232" width="11.44140625" style="227" hidden="1"/>
    <col min="11233" max="11233" width="11.5546875" style="227" hidden="1"/>
    <col min="11234" max="11234" width="9.109375" style="227" hidden="1"/>
    <col min="11235" max="11236" width="9.44140625" style="227" hidden="1"/>
    <col min="11237" max="11237" width="10.88671875" style="227" hidden="1"/>
    <col min="11238" max="11239" width="9.5546875" style="227" hidden="1"/>
    <col min="11240" max="11240" width="10.33203125" style="227" hidden="1"/>
    <col min="11241" max="11241" width="3.109375" style="227" hidden="1"/>
    <col min="11242" max="11246" width="10.88671875" style="227" hidden="1"/>
    <col min="11247" max="11247" width="11.44140625" style="227" hidden="1"/>
    <col min="11248" max="11249" width="7.109375" style="227" hidden="1"/>
    <col min="11250" max="11481" width="11.44140625" style="227" hidden="1"/>
    <col min="11482" max="11482" width="3.5546875" style="227" hidden="1"/>
    <col min="11483" max="11484" width="9" style="227" hidden="1"/>
    <col min="11485" max="11485" width="7" style="227" hidden="1"/>
    <col min="11486" max="11486" width="13.33203125" style="227" hidden="1"/>
    <col min="11487" max="11487" width="10" style="227" hidden="1"/>
    <col min="11488" max="11488" width="11.44140625" style="227" hidden="1"/>
    <col min="11489" max="11489" width="11.5546875" style="227" hidden="1"/>
    <col min="11490" max="11490" width="9.109375" style="227" hidden="1"/>
    <col min="11491" max="11492" width="9.44140625" style="227" hidden="1"/>
    <col min="11493" max="11493" width="10.88671875" style="227" hidden="1"/>
    <col min="11494" max="11495" width="9.5546875" style="227" hidden="1"/>
    <col min="11496" max="11496" width="10.33203125" style="227" hidden="1"/>
    <col min="11497" max="11497" width="3.109375" style="227" hidden="1"/>
    <col min="11498" max="11502" width="10.88671875" style="227" hidden="1"/>
    <col min="11503" max="11503" width="11.44140625" style="227" hidden="1"/>
    <col min="11504" max="11505" width="7.109375" style="227" hidden="1"/>
    <col min="11506" max="11737" width="11.44140625" style="227" hidden="1"/>
    <col min="11738" max="11738" width="3.5546875" style="227" hidden="1"/>
    <col min="11739" max="11740" width="9" style="227" hidden="1"/>
    <col min="11741" max="11741" width="7" style="227" hidden="1"/>
    <col min="11742" max="11742" width="13.33203125" style="227" hidden="1"/>
    <col min="11743" max="11743" width="10" style="227" hidden="1"/>
    <col min="11744" max="11744" width="11.44140625" style="227" hidden="1"/>
    <col min="11745" max="11745" width="11.5546875" style="227" hidden="1"/>
    <col min="11746" max="11746" width="9.109375" style="227" hidden="1"/>
    <col min="11747" max="11748" width="9.44140625" style="227" hidden="1"/>
    <col min="11749" max="11749" width="10.88671875" style="227" hidden="1"/>
    <col min="11750" max="11751" width="9.5546875" style="227" hidden="1"/>
    <col min="11752" max="11752" width="10.33203125" style="227" hidden="1"/>
    <col min="11753" max="11753" width="3.109375" style="227" hidden="1"/>
    <col min="11754" max="11758" width="10.88671875" style="227" hidden="1"/>
    <col min="11759" max="11759" width="11.44140625" style="227" hidden="1"/>
    <col min="11760" max="11761" width="7.109375" style="227" hidden="1"/>
    <col min="11762" max="11993" width="11.44140625" style="227" hidden="1"/>
    <col min="11994" max="11994" width="3.5546875" style="227" hidden="1"/>
    <col min="11995" max="11996" width="9" style="227" hidden="1"/>
    <col min="11997" max="11997" width="7" style="227" hidden="1"/>
    <col min="11998" max="11998" width="13.33203125" style="227" hidden="1"/>
    <col min="11999" max="11999" width="10" style="227" hidden="1"/>
    <col min="12000" max="12000" width="11.44140625" style="227" hidden="1"/>
    <col min="12001" max="12001" width="11.5546875" style="227" hidden="1"/>
    <col min="12002" max="12002" width="9.109375" style="227" hidden="1"/>
    <col min="12003" max="12004" width="9.44140625" style="227" hidden="1"/>
    <col min="12005" max="12005" width="10.88671875" style="227" hidden="1"/>
    <col min="12006" max="12007" width="9.5546875" style="227" hidden="1"/>
    <col min="12008" max="12008" width="10.33203125" style="227" hidden="1"/>
    <col min="12009" max="12009" width="3.109375" style="227" hidden="1"/>
    <col min="12010" max="12014" width="10.88671875" style="227" hidden="1"/>
    <col min="12015" max="12015" width="11.44140625" style="227" hidden="1"/>
    <col min="12016" max="12017" width="7.109375" style="227" hidden="1"/>
    <col min="12018" max="12249" width="11.44140625" style="227" hidden="1"/>
    <col min="12250" max="12250" width="3.5546875" style="227" hidden="1"/>
    <col min="12251" max="12252" width="9" style="227" hidden="1"/>
    <col min="12253" max="12253" width="7" style="227" hidden="1"/>
    <col min="12254" max="12254" width="13.33203125" style="227" hidden="1"/>
    <col min="12255" max="12255" width="10" style="227" hidden="1"/>
    <col min="12256" max="12256" width="11.44140625" style="227" hidden="1"/>
    <col min="12257" max="12257" width="11.5546875" style="227" hidden="1"/>
    <col min="12258" max="12258" width="9.109375" style="227" hidden="1"/>
    <col min="12259" max="12260" width="9.44140625" style="227" hidden="1"/>
    <col min="12261" max="12261" width="10.88671875" style="227" hidden="1"/>
    <col min="12262" max="12263" width="9.5546875" style="227" hidden="1"/>
    <col min="12264" max="12264" width="10.33203125" style="227" hidden="1"/>
    <col min="12265" max="12265" width="3.109375" style="227" hidden="1"/>
    <col min="12266" max="12270" width="10.88671875" style="227" hidden="1"/>
    <col min="12271" max="12271" width="11.44140625" style="227" hidden="1"/>
    <col min="12272" max="12273" width="7.109375" style="227" hidden="1"/>
    <col min="12274" max="12505" width="11.44140625" style="227" hidden="1"/>
    <col min="12506" max="12506" width="3.5546875" style="227" hidden="1"/>
    <col min="12507" max="12508" width="9" style="227" hidden="1"/>
    <col min="12509" max="12509" width="7" style="227" hidden="1"/>
    <col min="12510" max="12510" width="13.33203125" style="227" hidden="1"/>
    <col min="12511" max="12511" width="10" style="227" hidden="1"/>
    <col min="12512" max="12512" width="11.44140625" style="227" hidden="1"/>
    <col min="12513" max="12513" width="11.5546875" style="227" hidden="1"/>
    <col min="12514" max="12514" width="9.109375" style="227" hidden="1"/>
    <col min="12515" max="12516" width="9.44140625" style="227" hidden="1"/>
    <col min="12517" max="12517" width="10.88671875" style="227" hidden="1"/>
    <col min="12518" max="12519" width="9.5546875" style="227" hidden="1"/>
    <col min="12520" max="12520" width="10.33203125" style="227" hidden="1"/>
    <col min="12521" max="12521" width="3.109375" style="227" hidden="1"/>
    <col min="12522" max="12526" width="10.88671875" style="227" hidden="1"/>
    <col min="12527" max="12527" width="11.44140625" style="227" hidden="1"/>
    <col min="12528" max="12529" width="7.109375" style="227" hidden="1"/>
    <col min="12530" max="12761" width="11.44140625" style="227" hidden="1"/>
    <col min="12762" max="12762" width="3.5546875" style="227" hidden="1"/>
    <col min="12763" max="12764" width="9" style="227" hidden="1"/>
    <col min="12765" max="12765" width="7" style="227" hidden="1"/>
    <col min="12766" max="12766" width="13.33203125" style="227" hidden="1"/>
    <col min="12767" max="12767" width="10" style="227" hidden="1"/>
    <col min="12768" max="12768" width="11.44140625" style="227" hidden="1"/>
    <col min="12769" max="12769" width="11.5546875" style="227" hidden="1"/>
    <col min="12770" max="12770" width="9.109375" style="227" hidden="1"/>
    <col min="12771" max="12772" width="9.44140625" style="227" hidden="1"/>
    <col min="12773" max="12773" width="10.88671875" style="227" hidden="1"/>
    <col min="12774" max="12775" width="9.5546875" style="227" hidden="1"/>
    <col min="12776" max="12776" width="10.33203125" style="227" hidden="1"/>
    <col min="12777" max="12777" width="3.109375" style="227" hidden="1"/>
    <col min="12778" max="12782" width="10.88671875" style="227" hidden="1"/>
    <col min="12783" max="12783" width="11.44140625" style="227" hidden="1"/>
    <col min="12784" max="12785" width="7.109375" style="227" hidden="1"/>
    <col min="12786" max="13017" width="11.44140625" style="227" hidden="1"/>
    <col min="13018" max="13018" width="3.5546875" style="227" hidden="1"/>
    <col min="13019" max="13020" width="9" style="227" hidden="1"/>
    <col min="13021" max="13021" width="7" style="227" hidden="1"/>
    <col min="13022" max="13022" width="13.33203125" style="227" hidden="1"/>
    <col min="13023" max="13023" width="10" style="227" hidden="1"/>
    <col min="13024" max="13024" width="11.44140625" style="227" hidden="1"/>
    <col min="13025" max="13025" width="11.5546875" style="227" hidden="1"/>
    <col min="13026" max="13026" width="9.109375" style="227" hidden="1"/>
    <col min="13027" max="13028" width="9.44140625" style="227" hidden="1"/>
    <col min="13029" max="13029" width="10.88671875" style="227" hidden="1"/>
    <col min="13030" max="13031" width="9.5546875" style="227" hidden="1"/>
    <col min="13032" max="13032" width="10.33203125" style="227" hidden="1"/>
    <col min="13033" max="13033" width="3.109375" style="227" hidden="1"/>
    <col min="13034" max="13038" width="10.88671875" style="227" hidden="1"/>
    <col min="13039" max="13039" width="11.44140625" style="227" hidden="1"/>
    <col min="13040" max="13041" width="7.109375" style="227" hidden="1"/>
    <col min="13042" max="13273" width="11.44140625" style="227" hidden="1"/>
    <col min="13274" max="13274" width="3.5546875" style="227" hidden="1"/>
    <col min="13275" max="13276" width="9" style="227" hidden="1"/>
    <col min="13277" max="13277" width="7" style="227" hidden="1"/>
    <col min="13278" max="13278" width="13.33203125" style="227" hidden="1"/>
    <col min="13279" max="13279" width="10" style="227" hidden="1"/>
    <col min="13280" max="13280" width="11.44140625" style="227" hidden="1"/>
    <col min="13281" max="13281" width="11.5546875" style="227" hidden="1"/>
    <col min="13282" max="13282" width="9.109375" style="227" hidden="1"/>
    <col min="13283" max="13284" width="9.44140625" style="227" hidden="1"/>
    <col min="13285" max="13285" width="10.88671875" style="227" hidden="1"/>
    <col min="13286" max="13287" width="9.5546875" style="227" hidden="1"/>
    <col min="13288" max="13288" width="10.33203125" style="227" hidden="1"/>
    <col min="13289" max="13289" width="3.109375" style="227" hidden="1"/>
    <col min="13290" max="13294" width="10.88671875" style="227" hidden="1"/>
    <col min="13295" max="13295" width="11.44140625" style="227" hidden="1"/>
    <col min="13296" max="13297" width="7.109375" style="227" hidden="1"/>
    <col min="13298" max="13529" width="11.44140625" style="227" hidden="1"/>
    <col min="13530" max="13530" width="3.5546875" style="227" hidden="1"/>
    <col min="13531" max="13532" width="9" style="227" hidden="1"/>
    <col min="13533" max="13533" width="7" style="227" hidden="1"/>
    <col min="13534" max="13534" width="13.33203125" style="227" hidden="1"/>
    <col min="13535" max="13535" width="10" style="227" hidden="1"/>
    <col min="13536" max="13536" width="11.44140625" style="227" hidden="1"/>
    <col min="13537" max="13537" width="11.5546875" style="227" hidden="1"/>
    <col min="13538" max="13538" width="9.109375" style="227" hidden="1"/>
    <col min="13539" max="13540" width="9.44140625" style="227" hidden="1"/>
    <col min="13541" max="13541" width="10.88671875" style="227" hidden="1"/>
    <col min="13542" max="13543" width="9.5546875" style="227" hidden="1"/>
    <col min="13544" max="13544" width="10.33203125" style="227" hidden="1"/>
    <col min="13545" max="13545" width="3.109375" style="227" hidden="1"/>
    <col min="13546" max="13550" width="10.88671875" style="227" hidden="1"/>
    <col min="13551" max="13551" width="11.44140625" style="227" hidden="1"/>
    <col min="13552" max="13553" width="7.109375" style="227" hidden="1"/>
    <col min="13554" max="13785" width="11.44140625" style="227" hidden="1"/>
    <col min="13786" max="13786" width="3.5546875" style="227" hidden="1"/>
    <col min="13787" max="13788" width="9" style="227" hidden="1"/>
    <col min="13789" max="13789" width="7" style="227" hidden="1"/>
    <col min="13790" max="13790" width="13.33203125" style="227" hidden="1"/>
    <col min="13791" max="13791" width="10" style="227" hidden="1"/>
    <col min="13792" max="13792" width="11.44140625" style="227" hidden="1"/>
    <col min="13793" max="13793" width="11.5546875" style="227" hidden="1"/>
    <col min="13794" max="13794" width="9.109375" style="227" hidden="1"/>
    <col min="13795" max="13796" width="9.44140625" style="227" hidden="1"/>
    <col min="13797" max="13797" width="10.88671875" style="227" hidden="1"/>
    <col min="13798" max="13799" width="9.5546875" style="227" hidden="1"/>
    <col min="13800" max="13800" width="10.33203125" style="227" hidden="1"/>
    <col min="13801" max="13801" width="3.109375" style="227" hidden="1"/>
    <col min="13802" max="13806" width="10.88671875" style="227" hidden="1"/>
    <col min="13807" max="13807" width="11.44140625" style="227" hidden="1"/>
    <col min="13808" max="13809" width="7.109375" style="227" hidden="1"/>
    <col min="13810" max="14041" width="11.44140625" style="227" hidden="1"/>
    <col min="14042" max="14042" width="3.5546875" style="227" hidden="1"/>
    <col min="14043" max="14044" width="9" style="227" hidden="1"/>
    <col min="14045" max="14045" width="7" style="227" hidden="1"/>
    <col min="14046" max="14046" width="13.33203125" style="227" hidden="1"/>
    <col min="14047" max="14047" width="10" style="227" hidden="1"/>
    <col min="14048" max="14048" width="11.44140625" style="227" hidden="1"/>
    <col min="14049" max="14049" width="11.5546875" style="227" hidden="1"/>
    <col min="14050" max="14050" width="9.109375" style="227" hidden="1"/>
    <col min="14051" max="14052" width="9.44140625" style="227" hidden="1"/>
    <col min="14053" max="14053" width="10.88671875" style="227" hidden="1"/>
    <col min="14054" max="14055" width="9.5546875" style="227" hidden="1"/>
    <col min="14056" max="14056" width="10.33203125" style="227" hidden="1"/>
    <col min="14057" max="14057" width="3.109375" style="227" hidden="1"/>
    <col min="14058" max="14062" width="10.88671875" style="227" hidden="1"/>
    <col min="14063" max="14063" width="11.44140625" style="227" hidden="1"/>
    <col min="14064" max="14065" width="7.109375" style="227" hidden="1"/>
    <col min="14066" max="14297" width="11.44140625" style="227" hidden="1"/>
    <col min="14298" max="14298" width="3.5546875" style="227" hidden="1"/>
    <col min="14299" max="14300" width="9" style="227" hidden="1"/>
    <col min="14301" max="14301" width="7" style="227" hidden="1"/>
    <col min="14302" max="14302" width="13.33203125" style="227" hidden="1"/>
    <col min="14303" max="14303" width="10" style="227" hidden="1"/>
    <col min="14304" max="14304" width="11.44140625" style="227" hidden="1"/>
    <col min="14305" max="14305" width="11.5546875" style="227" hidden="1"/>
    <col min="14306" max="14306" width="9.109375" style="227" hidden="1"/>
    <col min="14307" max="14308" width="9.44140625" style="227" hidden="1"/>
    <col min="14309" max="14309" width="10.88671875" style="227" hidden="1"/>
    <col min="14310" max="14311" width="9.5546875" style="227" hidden="1"/>
    <col min="14312" max="14312" width="10.33203125" style="227" hidden="1"/>
    <col min="14313" max="14313" width="3.109375" style="227" hidden="1"/>
    <col min="14314" max="14318" width="10.88671875" style="227" hidden="1"/>
    <col min="14319" max="14319" width="11.44140625" style="227" hidden="1"/>
    <col min="14320" max="14321" width="7.109375" style="227" hidden="1"/>
    <col min="14322" max="14553" width="11.44140625" style="227" hidden="1"/>
    <col min="14554" max="14554" width="3.5546875" style="227" hidden="1"/>
    <col min="14555" max="14556" width="9" style="227" hidden="1"/>
    <col min="14557" max="14557" width="7" style="227" hidden="1"/>
    <col min="14558" max="14558" width="13.33203125" style="227" hidden="1"/>
    <col min="14559" max="14559" width="10" style="227" hidden="1"/>
    <col min="14560" max="14560" width="11.44140625" style="227" hidden="1"/>
    <col min="14561" max="14561" width="11.5546875" style="227" hidden="1"/>
    <col min="14562" max="14562" width="9.109375" style="227" hidden="1"/>
    <col min="14563" max="14564" width="9.44140625" style="227" hidden="1"/>
    <col min="14565" max="14565" width="10.88671875" style="227" hidden="1"/>
    <col min="14566" max="14567" width="9.5546875" style="227" hidden="1"/>
    <col min="14568" max="14568" width="10.33203125" style="227" hidden="1"/>
    <col min="14569" max="14569" width="3.109375" style="227" hidden="1"/>
    <col min="14570" max="14574" width="10.88671875" style="227" hidden="1"/>
    <col min="14575" max="14575" width="11.44140625" style="227" hidden="1"/>
    <col min="14576" max="14577" width="7.109375" style="227" hidden="1"/>
    <col min="14578" max="14809" width="11.44140625" style="227" hidden="1"/>
    <col min="14810" max="14810" width="3.5546875" style="227" hidden="1"/>
    <col min="14811" max="14812" width="9" style="227" hidden="1"/>
    <col min="14813" max="14813" width="7" style="227" hidden="1"/>
    <col min="14814" max="14814" width="13.33203125" style="227" hidden="1"/>
    <col min="14815" max="14815" width="10" style="227" hidden="1"/>
    <col min="14816" max="14816" width="11.44140625" style="227" hidden="1"/>
    <col min="14817" max="14817" width="11.5546875" style="227" hidden="1"/>
    <col min="14818" max="14818" width="9.109375" style="227" hidden="1"/>
    <col min="14819" max="14820" width="9.44140625" style="227" hidden="1"/>
    <col min="14821" max="14821" width="10.88671875" style="227" hidden="1"/>
    <col min="14822" max="14823" width="9.5546875" style="227" hidden="1"/>
    <col min="14824" max="14824" width="10.33203125" style="227" hidden="1"/>
    <col min="14825" max="14825" width="3.109375" style="227" hidden="1"/>
    <col min="14826" max="14830" width="10.88671875" style="227" hidden="1"/>
    <col min="14831" max="14831" width="11.44140625" style="227" hidden="1"/>
    <col min="14832" max="14833" width="7.109375" style="227" hidden="1"/>
    <col min="14834" max="15065" width="11.44140625" style="227" hidden="1"/>
    <col min="15066" max="15066" width="3.5546875" style="227" hidden="1"/>
    <col min="15067" max="15068" width="9" style="227" hidden="1"/>
    <col min="15069" max="15069" width="7" style="227" hidden="1"/>
    <col min="15070" max="15070" width="13.33203125" style="227" hidden="1"/>
    <col min="15071" max="15071" width="10" style="227" hidden="1"/>
    <col min="15072" max="15072" width="11.44140625" style="227" hidden="1"/>
    <col min="15073" max="15073" width="11.5546875" style="227" hidden="1"/>
    <col min="15074" max="15074" width="9.109375" style="227" hidden="1"/>
    <col min="15075" max="15076" width="9.44140625" style="227" hidden="1"/>
    <col min="15077" max="15077" width="10.88671875" style="227" hidden="1"/>
    <col min="15078" max="15079" width="9.5546875" style="227" hidden="1"/>
    <col min="15080" max="15080" width="10.33203125" style="227" hidden="1"/>
    <col min="15081" max="15081" width="3.109375" style="227" hidden="1"/>
    <col min="15082" max="15086" width="10.88671875" style="227" hidden="1"/>
    <col min="15087" max="15087" width="11.44140625" style="227" hidden="1"/>
    <col min="15088" max="15089" width="7.109375" style="227" hidden="1"/>
    <col min="15090" max="15321" width="11.44140625" style="227" hidden="1"/>
    <col min="15322" max="15322" width="3.5546875" style="227" hidden="1"/>
    <col min="15323" max="15324" width="9" style="227" hidden="1"/>
    <col min="15325" max="15325" width="7" style="227" hidden="1"/>
    <col min="15326" max="15326" width="13.33203125" style="227" hidden="1"/>
    <col min="15327" max="15327" width="10" style="227" hidden="1"/>
    <col min="15328" max="15328" width="11.44140625" style="227" hidden="1"/>
    <col min="15329" max="15329" width="11.5546875" style="227" hidden="1"/>
    <col min="15330" max="15330" width="9.109375" style="227" hidden="1"/>
    <col min="15331" max="15332" width="9.44140625" style="227" hidden="1"/>
    <col min="15333" max="15333" width="10.88671875" style="227" hidden="1"/>
    <col min="15334" max="15335" width="9.5546875" style="227" hidden="1"/>
    <col min="15336" max="15336" width="10.33203125" style="227" hidden="1"/>
    <col min="15337" max="15337" width="3.109375" style="227" hidden="1"/>
    <col min="15338" max="15342" width="10.88671875" style="227" hidden="1"/>
    <col min="15343" max="15343" width="11.44140625" style="227" hidden="1"/>
    <col min="15344" max="15345" width="7.109375" style="227" hidden="1"/>
    <col min="15346" max="15577" width="11.44140625" style="227" hidden="1"/>
    <col min="15578" max="15578" width="3.5546875" style="227" hidden="1"/>
    <col min="15579" max="15580" width="9" style="227" hidden="1"/>
    <col min="15581" max="15581" width="7" style="227" hidden="1"/>
    <col min="15582" max="15582" width="13.33203125" style="227" hidden="1"/>
    <col min="15583" max="15583" width="10" style="227" hidden="1"/>
    <col min="15584" max="15584" width="11.44140625" style="227" hidden="1"/>
    <col min="15585" max="15585" width="11.5546875" style="227" hidden="1"/>
    <col min="15586" max="15586" width="9.109375" style="227" hidden="1"/>
    <col min="15587" max="15588" width="9.44140625" style="227" hidden="1"/>
    <col min="15589" max="15589" width="10.88671875" style="227" hidden="1"/>
    <col min="15590" max="15591" width="9.5546875" style="227" hidden="1"/>
    <col min="15592" max="15592" width="10.33203125" style="227" hidden="1"/>
    <col min="15593" max="15593" width="3.109375" style="227" hidden="1"/>
    <col min="15594" max="15598" width="10.88671875" style="227" hidden="1"/>
    <col min="15599" max="15599" width="11.44140625" style="227" hidden="1"/>
    <col min="15600" max="15601" width="7.109375" style="227" hidden="1"/>
    <col min="15602" max="15833" width="11.44140625" style="227" hidden="1"/>
    <col min="15834" max="15834" width="3.5546875" style="227" hidden="1"/>
    <col min="15835" max="15836" width="9" style="227" hidden="1"/>
    <col min="15837" max="15837" width="7" style="227" hidden="1"/>
    <col min="15838" max="15838" width="13.33203125" style="227" hidden="1"/>
    <col min="15839" max="15839" width="10" style="227" hidden="1"/>
    <col min="15840" max="15840" width="11.44140625" style="227" hidden="1"/>
    <col min="15841" max="15841" width="11.5546875" style="227" hidden="1"/>
    <col min="15842" max="15842" width="9.109375" style="227" hidden="1"/>
    <col min="15843" max="15844" width="9.44140625" style="227" hidden="1"/>
    <col min="15845" max="15845" width="10.88671875" style="227" hidden="1"/>
    <col min="15846" max="15847" width="9.5546875" style="227" hidden="1"/>
    <col min="15848" max="15848" width="10.33203125" style="227" hidden="1"/>
    <col min="15849" max="15849" width="3.109375" style="227" hidden="1"/>
    <col min="15850" max="15854" width="10.88671875" style="227" hidden="1"/>
    <col min="15855" max="15855" width="11.44140625" style="227" hidden="1"/>
    <col min="15856" max="15857" width="7.109375" style="227" hidden="1"/>
    <col min="15858" max="16089" width="11.44140625" style="227" hidden="1"/>
    <col min="16090" max="16090" width="3.5546875" style="227" hidden="1"/>
    <col min="16091" max="16092" width="9" style="227" hidden="1"/>
    <col min="16093" max="16093" width="7" style="227" hidden="1"/>
    <col min="16094" max="16094" width="13.33203125" style="227" hidden="1"/>
    <col min="16095" max="16095" width="10" style="227" hidden="1"/>
    <col min="16096" max="16096" width="11.44140625" style="227" hidden="1"/>
    <col min="16097" max="16097" width="11.5546875" style="227" hidden="1"/>
    <col min="16098" max="16098" width="9.109375" style="227" hidden="1"/>
    <col min="16099" max="16100" width="9.44140625" style="227" hidden="1"/>
    <col min="16101" max="16101" width="10.88671875" style="227" hidden="1"/>
    <col min="16102" max="16103" width="9.5546875" style="227" hidden="1"/>
    <col min="16104" max="16104" width="10.33203125" style="227" hidden="1"/>
    <col min="16105" max="16105" width="3.109375" style="227" hidden="1"/>
    <col min="16106" max="16110" width="10.88671875" style="227" hidden="1"/>
    <col min="16111" max="16111" width="11.44140625" style="227" hidden="1"/>
    <col min="16112" max="16113" width="7.109375" style="227" hidden="1"/>
    <col min="16114" max="16384" width="11.44140625" style="227" hidden="1"/>
  </cols>
  <sheetData>
    <row r="2" spans="2:29" ht="13.8">
      <c r="B2" s="370" t="s">
        <v>0</v>
      </c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W2" s="370"/>
      <c r="X2" s="370"/>
      <c r="Y2" s="370"/>
      <c r="Z2" s="370"/>
      <c r="AA2" s="370"/>
      <c r="AB2" s="370"/>
      <c r="AC2" s="370"/>
    </row>
    <row r="3" spans="2:29" hidden="1"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</row>
    <row r="4" spans="2:29" hidden="1">
      <c r="B4" s="371" t="s">
        <v>1</v>
      </c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</row>
    <row r="5" spans="2:29" hidden="1">
      <c r="B5" s="371" t="s">
        <v>2</v>
      </c>
      <c r="C5" s="371"/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371"/>
      <c r="O5" s="371"/>
    </row>
    <row r="6" spans="2:29" hidden="1">
      <c r="B6" s="231" t="s">
        <v>3</v>
      </c>
      <c r="C6" s="232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</row>
    <row r="7" spans="2:29" hidden="1">
      <c r="B7" s="233" t="s">
        <v>4</v>
      </c>
      <c r="C7" s="234"/>
      <c r="D7" s="234"/>
      <c r="E7" s="234"/>
      <c r="F7" s="234"/>
      <c r="G7" s="234"/>
      <c r="H7" s="234"/>
      <c r="I7" s="234"/>
      <c r="J7" s="234"/>
      <c r="K7" s="235"/>
      <c r="L7" s="234"/>
      <c r="M7" s="236"/>
      <c r="N7" s="236"/>
      <c r="O7" s="236"/>
    </row>
    <row r="8" spans="2:29" ht="6" hidden="1" customHeight="1">
      <c r="B8" s="378"/>
      <c r="C8" s="378"/>
      <c r="D8" s="378"/>
      <c r="E8" s="378"/>
      <c r="F8" s="378"/>
      <c r="G8" s="378"/>
      <c r="H8" s="378"/>
      <c r="I8" s="378"/>
      <c r="J8" s="378"/>
      <c r="K8" s="378"/>
      <c r="L8" s="378"/>
      <c r="M8" s="237"/>
      <c r="N8" s="237"/>
      <c r="O8" s="238">
        <v>14</v>
      </c>
      <c r="P8" s="239"/>
      <c r="Q8" s="239"/>
    </row>
    <row r="9" spans="2:29" ht="15" customHeight="1">
      <c r="B9" s="372"/>
      <c r="C9" s="373"/>
      <c r="D9" s="373"/>
      <c r="E9" s="373"/>
      <c r="F9" s="373"/>
      <c r="G9" s="373"/>
      <c r="H9" s="373"/>
      <c r="I9" s="373"/>
      <c r="J9" s="373"/>
      <c r="K9" s="373"/>
      <c r="L9" s="373"/>
      <c r="M9" s="373"/>
      <c r="N9" s="373"/>
      <c r="O9" s="373"/>
      <c r="P9" s="374"/>
      <c r="Q9" s="239"/>
      <c r="Y9" s="379" t="s">
        <v>5</v>
      </c>
      <c r="Z9" s="380"/>
      <c r="AA9" s="380"/>
      <c r="AB9" s="380"/>
      <c r="AC9" s="381"/>
    </row>
    <row r="10" spans="2:29" ht="2.4" hidden="1" customHeight="1">
      <c r="B10" s="240"/>
      <c r="N10" s="241"/>
      <c r="O10" s="242"/>
      <c r="P10" s="243"/>
      <c r="Y10" s="240"/>
      <c r="Z10" s="227"/>
      <c r="AA10" s="227"/>
      <c r="AB10" s="241"/>
      <c r="AC10" s="244"/>
    </row>
    <row r="11" spans="2:29">
      <c r="B11" s="336" t="s">
        <v>6</v>
      </c>
      <c r="C11" s="334">
        <f ca="1">+TODAY()</f>
        <v>46234</v>
      </c>
      <c r="D11" s="365">
        <f ca="1">VLOOKUP($P$12,Tabla2[[#Headers],[#Data],[PPD]:[Columna7]],9,FALSE)</f>
        <v>46235</v>
      </c>
      <c r="E11" s="245"/>
      <c r="F11" s="245"/>
      <c r="P11" s="246" t="s">
        <v>7</v>
      </c>
      <c r="Y11" s="385" t="s">
        <v>8</v>
      </c>
      <c r="Z11" s="386"/>
      <c r="AA11" s="227"/>
      <c r="AB11" s="241"/>
      <c r="AC11" s="244"/>
    </row>
    <row r="12" spans="2:29" ht="21.6">
      <c r="B12" s="337" t="s">
        <v>9</v>
      </c>
      <c r="C12" s="359">
        <v>0.22</v>
      </c>
      <c r="D12" s="245"/>
      <c r="E12" s="343" t="s">
        <v>10</v>
      </c>
      <c r="F12" s="247">
        <v>10000</v>
      </c>
      <c r="H12" s="248"/>
      <c r="M12" s="258"/>
      <c r="N12" s="249" t="s">
        <v>11</v>
      </c>
      <c r="O12" s="250">
        <v>9</v>
      </c>
      <c r="P12" s="251">
        <f>VLOOKUP(O12,Tabla2[],2,FALSE)</f>
        <v>7</v>
      </c>
      <c r="Y12" s="252" t="s">
        <v>9</v>
      </c>
      <c r="Z12" s="253">
        <v>0.18440000000000001</v>
      </c>
      <c r="AA12" s="254"/>
      <c r="AB12" s="227"/>
      <c r="AC12" s="255"/>
    </row>
    <row r="13" spans="2:29" ht="19.5" customHeight="1">
      <c r="B13" s="338" t="s">
        <v>12</v>
      </c>
      <c r="C13" s="256">
        <f>ROUND((1+C12)^(1/12)-1,4)</f>
        <v>1.67E-2</v>
      </c>
      <c r="D13" s="245"/>
      <c r="E13" s="344" t="str">
        <f>+C19</f>
        <v>Desgrav. saldo</v>
      </c>
      <c r="F13" s="256">
        <f>+'Calculo desgravamen'!X11</f>
        <v>6.8999999999999999E-3</v>
      </c>
      <c r="G13" s="257">
        <f>+F13*F12</f>
        <v>69</v>
      </c>
      <c r="H13" s="258"/>
      <c r="M13" s="258"/>
      <c r="N13" s="249" t="s">
        <v>13</v>
      </c>
      <c r="O13" s="259">
        <f ca="1">VLOOKUP($P$12,Tabla2[[#All],[PPD]:[Columna2]],4,FALSE)</f>
        <v>46210</v>
      </c>
      <c r="P13" s="260">
        <f ca="1">VLOOKUP($P$12,Tabla2[[#All],[PPD]:[Columna5]],7,FALSE)</f>
        <v>46241</v>
      </c>
      <c r="Y13" s="252" t="s">
        <v>12</v>
      </c>
      <c r="Z13" s="261">
        <f>+'Simulador CUOTA (2)'!C13</f>
        <v>1.4200000000000001E-2</v>
      </c>
      <c r="AA13" s="254"/>
      <c r="AB13" s="227"/>
      <c r="AC13" s="255"/>
    </row>
    <row r="14" spans="2:29" ht="21.6">
      <c r="B14" s="338" t="s">
        <v>14</v>
      </c>
      <c r="C14" s="256">
        <f ca="1">ROUNDDOWN((1+C15)^12-1,4)</f>
        <v>0.28599999999999998</v>
      </c>
      <c r="D14" s="245"/>
      <c r="E14" s="343" t="s">
        <v>15</v>
      </c>
      <c r="F14" s="360">
        <f ca="1">IF(C19=Hoja1!L13,TRUNC('Simulador CUOTA'!F12*'Simulador CUOTA'!F13,2),IF(C19=Hoja1!L14,TRUNC('Simulador CUOTA'!F12*'Simulador CUOTA'!F13,2),'Calculo desgravamen'!AA24))</f>
        <v>900.20975187679994</v>
      </c>
      <c r="H14" s="258"/>
      <c r="M14" s="258"/>
      <c r="N14" s="262" t="s">
        <v>16</v>
      </c>
      <c r="O14" s="263">
        <v>20</v>
      </c>
      <c r="P14" s="246"/>
      <c r="Y14" s="252" t="s">
        <v>14</v>
      </c>
      <c r="Z14" s="261">
        <f ca="1">+'Simulador CUOTA (2)'!C14</f>
        <v>0.24840000000000001</v>
      </c>
      <c r="AA14" s="254"/>
      <c r="AB14" s="227"/>
      <c r="AC14" s="255"/>
    </row>
    <row r="15" spans="2:29">
      <c r="B15" s="338" t="s">
        <v>17</v>
      </c>
      <c r="C15" s="256">
        <f ca="1">IRR(K23:K71)</f>
        <v>2.1185103862304322E-2</v>
      </c>
      <c r="D15" s="245"/>
      <c r="E15" s="345" t="s">
        <v>18</v>
      </c>
      <c r="F15" s="335">
        <f ca="1">+F14+F12</f>
        <v>10900.209751876801</v>
      </c>
      <c r="M15" s="258"/>
      <c r="N15" s="258"/>
      <c r="O15" s="262"/>
      <c r="P15" s="368"/>
      <c r="Y15" s="264" t="s">
        <v>17</v>
      </c>
      <c r="Z15" s="265"/>
      <c r="AA15" s="254"/>
      <c r="AB15" s="227"/>
      <c r="AC15" s="255"/>
    </row>
    <row r="16" spans="2:29">
      <c r="B16" s="339" t="s">
        <v>19</v>
      </c>
      <c r="C16" s="266">
        <v>48</v>
      </c>
      <c r="D16" s="245"/>
      <c r="E16" s="344" t="s">
        <v>20</v>
      </c>
      <c r="F16" s="335">
        <v>0</v>
      </c>
      <c r="M16" s="258"/>
      <c r="N16" s="369"/>
      <c r="O16" s="267"/>
      <c r="P16" s="246"/>
      <c r="Y16" s="268" t="s">
        <v>21</v>
      </c>
      <c r="Z16" s="269">
        <f>+C16</f>
        <v>48</v>
      </c>
      <c r="AA16" s="254"/>
      <c r="AB16" s="382" t="s">
        <v>22</v>
      </c>
      <c r="AC16" s="383" t="s">
        <v>23</v>
      </c>
    </row>
    <row r="17" spans="2:41">
      <c r="B17" s="340" t="s">
        <v>24</v>
      </c>
      <c r="C17" s="270" t="s">
        <v>25</v>
      </c>
      <c r="D17" s="387"/>
      <c r="E17" s="343" t="s">
        <v>26</v>
      </c>
      <c r="F17" s="271">
        <f>+F12-F16</f>
        <v>10000</v>
      </c>
      <c r="H17" s="272"/>
      <c r="N17" s="361"/>
      <c r="O17" s="248"/>
      <c r="P17" s="255"/>
      <c r="Y17" s="273"/>
      <c r="Z17" s="254"/>
      <c r="AA17" s="254"/>
      <c r="AB17" s="382"/>
      <c r="AC17" s="384"/>
    </row>
    <row r="18" spans="2:41" ht="10.5" hidden="1" customHeight="1">
      <c r="B18" s="341"/>
      <c r="C18" s="245">
        <f>+VLOOKUP($C$17,Hoja1!F14:G38,2,0)</f>
        <v>0</v>
      </c>
      <c r="D18" s="387"/>
      <c r="E18" s="245"/>
      <c r="F18" s="245"/>
      <c r="N18" s="362"/>
      <c r="O18" s="274"/>
      <c r="P18" s="255"/>
      <c r="Y18" s="240"/>
      <c r="Z18" s="227"/>
      <c r="AA18" s="227"/>
      <c r="AB18" s="275" t="s">
        <v>27</v>
      </c>
      <c r="AC18" s="276">
        <f>+VLOOKUP(AC16,Hoja1!$A$2:$B$4,2,0)</f>
        <v>1.8800000000000001E-2</v>
      </c>
    </row>
    <row r="19" spans="2:41" ht="21.6">
      <c r="B19" s="342" t="s">
        <v>28</v>
      </c>
      <c r="C19" s="277" t="s">
        <v>29</v>
      </c>
      <c r="D19" s="245"/>
      <c r="E19" s="245"/>
      <c r="F19" s="245"/>
      <c r="P19" s="255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</row>
    <row r="20" spans="2:41" s="278" customFormat="1" ht="3" hidden="1" customHeight="1">
      <c r="B20" s="279"/>
      <c r="C20" s="280"/>
      <c r="D20" s="280"/>
      <c r="J20" s="227"/>
      <c r="K20" s="227"/>
      <c r="L20" s="227"/>
      <c r="P20" s="281"/>
      <c r="Q20" s="280"/>
      <c r="R20" s="280"/>
      <c r="S20" s="280"/>
      <c r="T20" s="280"/>
      <c r="U20" s="282"/>
      <c r="V20" s="282"/>
      <c r="W20" s="282"/>
      <c r="X20" s="282"/>
      <c r="Y20" s="283"/>
      <c r="Z20" s="284"/>
      <c r="AA20" s="284"/>
      <c r="AB20" s="285" t="s">
        <v>30</v>
      </c>
      <c r="AC20" s="286">
        <f ca="1">+O75-'Simulador CUOTA (2)'!O87</f>
        <v>894.88000000000557</v>
      </c>
      <c r="AD20" s="282"/>
      <c r="AE20" s="282"/>
      <c r="AF20" s="282"/>
      <c r="AG20" s="282"/>
      <c r="AH20" s="282"/>
      <c r="AI20" s="282"/>
      <c r="AJ20" s="282"/>
      <c r="AK20" s="282"/>
      <c r="AL20" s="282"/>
      <c r="AM20" s="282"/>
      <c r="AN20" s="282"/>
      <c r="AO20" s="282"/>
    </row>
    <row r="21" spans="2:41" ht="14.25" customHeight="1">
      <c r="B21" s="375" t="s">
        <v>31</v>
      </c>
      <c r="C21" s="376"/>
      <c r="D21" s="376"/>
      <c r="E21" s="376"/>
      <c r="F21" s="376"/>
      <c r="G21" s="376"/>
      <c r="H21" s="376"/>
      <c r="I21" s="376"/>
      <c r="J21" s="376"/>
      <c r="K21" s="376"/>
      <c r="L21" s="376"/>
      <c r="M21" s="376"/>
      <c r="N21" s="376"/>
      <c r="O21" s="376"/>
      <c r="P21" s="377"/>
      <c r="Q21" s="239"/>
      <c r="W21" s="287"/>
    </row>
    <row r="22" spans="2:41">
      <c r="B22" s="288" t="s">
        <v>32</v>
      </c>
      <c r="C22" s="290" t="s">
        <v>33</v>
      </c>
      <c r="D22" s="354" t="s">
        <v>34</v>
      </c>
      <c r="E22" s="367" t="s">
        <v>35</v>
      </c>
      <c r="F22" s="291" t="s">
        <v>36</v>
      </c>
      <c r="G22" s="289" t="s">
        <v>37</v>
      </c>
      <c r="H22" s="289" t="s">
        <v>38</v>
      </c>
      <c r="I22" s="289" t="s">
        <v>39</v>
      </c>
      <c r="J22" s="289" t="s">
        <v>40</v>
      </c>
      <c r="K22" s="289" t="s">
        <v>41</v>
      </c>
      <c r="L22" s="292" t="s">
        <v>42</v>
      </c>
      <c r="M22" s="293"/>
      <c r="N22" s="289" t="s">
        <v>39</v>
      </c>
      <c r="O22" s="289" t="s">
        <v>40</v>
      </c>
      <c r="P22" s="292" t="s">
        <v>41</v>
      </c>
      <c r="Q22" s="239"/>
      <c r="Y22" s="294" t="s">
        <v>38</v>
      </c>
      <c r="Z22" s="295" t="s">
        <v>39</v>
      </c>
      <c r="AA22" s="295" t="s">
        <v>40</v>
      </c>
      <c r="AB22" s="295" t="s">
        <v>41</v>
      </c>
      <c r="AC22" s="296" t="s">
        <v>43</v>
      </c>
    </row>
    <row r="23" spans="2:41" hidden="1">
      <c r="B23" s="297">
        <v>0</v>
      </c>
      <c r="C23" s="299"/>
      <c r="D23" s="355"/>
      <c r="E23" s="299"/>
      <c r="F23" s="300"/>
      <c r="G23" s="298"/>
      <c r="H23" s="301"/>
      <c r="I23" s="298"/>
      <c r="J23" s="298"/>
      <c r="K23" s="302">
        <f>-F17</f>
        <v>-10000</v>
      </c>
      <c r="L23" s="303"/>
      <c r="M23" s="237"/>
      <c r="N23" s="297"/>
      <c r="O23" s="298"/>
      <c r="P23" s="303"/>
      <c r="Q23" s="239"/>
      <c r="Y23" s="304"/>
      <c r="Z23" s="305"/>
      <c r="AA23" s="305"/>
      <c r="AB23" s="305"/>
      <c r="AC23" s="306"/>
    </row>
    <row r="24" spans="2:41">
      <c r="B24" s="307">
        <v>1</v>
      </c>
      <c r="C24" s="366">
        <f ca="1">IF(C16&gt;=B24,P13,"-")</f>
        <v>46241</v>
      </c>
      <c r="D24" s="356">
        <f ca="1">IF($C$16&gt;=B24,(VLOOKUP(C24,Hoja1!V:Z,5,0)),"-")</f>
        <v>46266</v>
      </c>
      <c r="E24" s="363">
        <f ca="1">IF($C$16&gt;=B24,D24-C11,"-")</f>
        <v>32</v>
      </c>
      <c r="F24" s="309">
        <f ca="1">IF($C$16&gt;=B24,E24,"-")</f>
        <v>32</v>
      </c>
      <c r="G24" s="310">
        <f t="shared" ref="G24:G55" ca="1" si="0">IF($C$16&gt;=B24,ROUND(1/((1+$C$12)^(F24/360)),9),"-")</f>
        <v>0.98247966600000003</v>
      </c>
      <c r="H24" s="311">
        <f ca="1">IF($C$16&gt;=B24,F15,"-")</f>
        <v>10900.209751876801</v>
      </c>
      <c r="I24" s="311">
        <f t="shared" ref="I24:I55" ca="1" si="1">IF($C$16=B24,H24,IF($C$16&gt;=B24,K24-J24,"-"))</f>
        <v>139.55000000000001</v>
      </c>
      <c r="J24" s="311">
        <f t="shared" ref="J24:J55" ca="1" si="2">IF($C$16=B24,K24-I24,IF($C$16&gt;=B24,ROUND(H24*((1+$C$12)^(E24/360)-1),2),"-"))</f>
        <v>194.38</v>
      </c>
      <c r="K24" s="311">
        <f ca="1">IF(O19&gt;0,$O$19+IF($C$16&gt;=B24,ROUND($F$15/$G$75,2),"-"),IF($C$16&gt;=B24,ROUND($F$15/$G$75,2),"-"))</f>
        <v>333.93</v>
      </c>
      <c r="L24" s="312">
        <f t="shared" ref="L24:L55" ca="1" si="3">IF($C$16&gt;=B24,H24-I24,"-")</f>
        <v>10760.659751876801</v>
      </c>
      <c r="M24" s="312">
        <f ca="1">I24</f>
        <v>139.55000000000001</v>
      </c>
      <c r="N24" s="313">
        <f ca="1">IF($C$16&gt;=B24,(IF((M24&lt;=0),1,((SUM($I$24:I24)-(SUM($N$23:N23)))))),"-")</f>
        <v>139.55000000000001</v>
      </c>
      <c r="O24" s="311">
        <f t="shared" ref="O24:O55" ca="1" si="4">IF($C$16&gt;=B24,(P24-N24),"-")</f>
        <v>194.38</v>
      </c>
      <c r="P24" s="312">
        <f t="shared" ref="P24:P55" ca="1" si="5">IF($C$16&gt;=B24,(VALUE(K24)),"-")</f>
        <v>333.93</v>
      </c>
      <c r="Q24" s="314">
        <f ca="1">P24</f>
        <v>333.93</v>
      </c>
      <c r="S24" s="315" t="str">
        <f t="shared" ref="S24:S55" ca="1" si="6">TEXT(C24,"yyyy/mm/dd")</f>
        <v>2026/08/07</v>
      </c>
      <c r="T24" s="228" t="str">
        <f ca="1">MID(S24,1,4)</f>
        <v>2026</v>
      </c>
      <c r="U24" s="229" t="str">
        <f ca="1">MID(S24,6,2)</f>
        <v>08</v>
      </c>
      <c r="V24" s="229" t="str">
        <f ca="1">MID(S24,9,2)</f>
        <v>07</v>
      </c>
      <c r="Y24" s="316">
        <f ca="1">+'Simulador CUOTA (2)'!H24</f>
        <v>10900.209751876801</v>
      </c>
      <c r="Z24" s="317">
        <f ca="1">+'Simulador CUOTA (2)'!N24</f>
        <v>514.73</v>
      </c>
      <c r="AA24" s="317">
        <f ca="1">+'Simulador CUOTA (2)'!O24</f>
        <v>-15.360000000000014</v>
      </c>
      <c r="AB24" s="317">
        <f ca="1">+'Simulador CUOTA (2)'!P24</f>
        <v>499.37</v>
      </c>
      <c r="AC24" s="318">
        <f ca="1">IFERROR(P24-AB24,"-")</f>
        <v>-165.44</v>
      </c>
    </row>
    <row r="25" spans="2:41">
      <c r="B25" s="307">
        <v>2</v>
      </c>
      <c r="C25" s="366">
        <f t="shared" ref="C25:C56" ca="1" si="7">IF($C$16&gt;=B25,DATE(YEAR(C24),MONTH(C24)+1,DAY(C24)),"-")</f>
        <v>46272</v>
      </c>
      <c r="D25" s="356">
        <f ca="1">IF($C$16&gt;=B25,(VLOOKUP(C25,Hoja1!V:Z,5,0)),"-")</f>
        <v>46296</v>
      </c>
      <c r="E25" s="363">
        <f ca="1">IF($C$16&gt;=B25,D25-D24,"-")</f>
        <v>30</v>
      </c>
      <c r="F25" s="309">
        <f t="shared" ref="F25:F56" ca="1" si="8">IF($C$16&gt;=B25,E25+F24,"-")</f>
        <v>62</v>
      </c>
      <c r="G25" s="310">
        <f t="shared" ca="1" si="0"/>
        <v>0.96633323900000001</v>
      </c>
      <c r="H25" s="311">
        <f t="shared" ref="H25:H56" ca="1" si="9">IF($C$16&gt;=B25,L24,"-")</f>
        <v>10760.659751876801</v>
      </c>
      <c r="I25" s="311">
        <f t="shared" ca="1" si="1"/>
        <v>154.13</v>
      </c>
      <c r="J25" s="311">
        <f t="shared" ca="1" si="2"/>
        <v>179.8</v>
      </c>
      <c r="K25" s="311">
        <f t="shared" ref="K25:K56" ca="1" si="10">IF($C$16&gt;=B25,ROUND($F$15/$G$75,2),"-")</f>
        <v>333.93</v>
      </c>
      <c r="L25" s="312">
        <f t="shared" ca="1" si="3"/>
        <v>10606.529751876802</v>
      </c>
      <c r="M25" s="312">
        <f ca="1">P25-(J25+(I24*-1)+1)</f>
        <v>292.68</v>
      </c>
      <c r="N25" s="313">
        <f ca="1">IF($C$16&gt;=B25,(IF((M25&lt;=0),1,((SUM($I$24:I25)-(SUM($N$23:N24)))))),"-")</f>
        <v>154.13</v>
      </c>
      <c r="O25" s="311">
        <f t="shared" ca="1" si="4"/>
        <v>179.8</v>
      </c>
      <c r="P25" s="312">
        <f t="shared" ca="1" si="5"/>
        <v>333.93</v>
      </c>
      <c r="Q25" s="314">
        <f t="shared" ref="Q25:Q71" ca="1" si="11">P25</f>
        <v>333.93</v>
      </c>
      <c r="S25" s="315" t="str">
        <f t="shared" ca="1" si="6"/>
        <v>2026/09/07</v>
      </c>
      <c r="T25" s="228" t="str">
        <f t="shared" ref="T25:T71" ca="1" si="12">IF(VALUE(U24)=12,TEXT(VALUE(T24)+1,"0000"),T24)</f>
        <v>2026</v>
      </c>
      <c r="U25" s="229" t="str">
        <f t="shared" ref="U25:U73" ca="1" si="13">IF(VALUE(U24)=12,"01",TEXT(VALUE(U24)+1,"00"))</f>
        <v>09</v>
      </c>
      <c r="V25" s="229" t="str">
        <f t="shared" ref="V25:V73" ca="1" si="14">V24</f>
        <v>07</v>
      </c>
      <c r="Y25" s="316">
        <f ca="1">+'Simulador CUOTA (2)'!H25</f>
        <v>10385.479751876801</v>
      </c>
      <c r="Z25" s="317">
        <f ca="1">+'Simulador CUOTA (2)'!N25</f>
        <v>158.90999999999997</v>
      </c>
      <c r="AA25" s="317">
        <f ca="1">+'Simulador CUOTA (2)'!O25</f>
        <v>152.46000000000004</v>
      </c>
      <c r="AB25" s="317">
        <f ca="1">+'Simulador CUOTA (2)'!P25</f>
        <v>311.37</v>
      </c>
      <c r="AC25" s="318">
        <f t="shared" ref="AC25" ca="1" si="15">IFERROR(P25-AB25,"-")</f>
        <v>22.560000000000002</v>
      </c>
    </row>
    <row r="26" spans="2:41">
      <c r="B26" s="307">
        <v>3</v>
      </c>
      <c r="C26" s="366">
        <f t="shared" ca="1" si="7"/>
        <v>46302</v>
      </c>
      <c r="D26" s="356">
        <f ca="1">IF($C$16&gt;=B26,(VLOOKUP(C26,Hoja1!V:Z,5,0)),"-")</f>
        <v>46327</v>
      </c>
      <c r="E26" s="363">
        <f t="shared" ref="E26:E71" ca="1" si="16">IF($C$16&gt;=B26,D26-D25,"-")</f>
        <v>31</v>
      </c>
      <c r="F26" s="309">
        <f t="shared" ca="1" si="8"/>
        <v>93</v>
      </c>
      <c r="G26" s="310">
        <f t="shared" ca="1" si="0"/>
        <v>0.94992731799999997</v>
      </c>
      <c r="H26" s="311">
        <f t="shared" ca="1" si="9"/>
        <v>10606.529751876802</v>
      </c>
      <c r="I26" s="311">
        <f t="shared" ca="1" si="1"/>
        <v>150.75</v>
      </c>
      <c r="J26" s="311">
        <f t="shared" ca="1" si="2"/>
        <v>183.18</v>
      </c>
      <c r="K26" s="311">
        <f t="shared" ca="1" si="10"/>
        <v>333.93</v>
      </c>
      <c r="L26" s="312">
        <f t="shared" ca="1" si="3"/>
        <v>10455.779751876802</v>
      </c>
      <c r="M26" s="312">
        <f ca="1">IF($C$16&gt;=B26,(IF(((P26-(J26+(I25*-1)+1))&lt;=0),1,((SUM(I$24:$I26)-(SUM($N$23:$N$25)))))),"-")</f>
        <v>150.75</v>
      </c>
      <c r="N26" s="313">
        <f ca="1">IF($C$16&gt;=B26,(IF((M26&lt;=0),1,((SUM($I$24:I26)-(SUM($N$23:N25)))))),"-")</f>
        <v>150.75</v>
      </c>
      <c r="O26" s="311">
        <f t="shared" ca="1" si="4"/>
        <v>183.18</v>
      </c>
      <c r="P26" s="312">
        <f t="shared" ca="1" si="5"/>
        <v>333.93</v>
      </c>
      <c r="Q26" s="314">
        <f t="shared" ca="1" si="11"/>
        <v>333.93</v>
      </c>
      <c r="S26" s="315" t="str">
        <f t="shared" ca="1" si="6"/>
        <v>2026/10/07</v>
      </c>
      <c r="T26" s="228" t="str">
        <f t="shared" ca="1" si="12"/>
        <v>2026</v>
      </c>
      <c r="U26" s="229" t="str">
        <f t="shared" ca="1" si="13"/>
        <v>10</v>
      </c>
      <c r="V26" s="229" t="str">
        <f t="shared" ca="1" si="14"/>
        <v>07</v>
      </c>
      <c r="Y26" s="316">
        <f ca="1">+'Simulador CUOTA (2)'!H26</f>
        <v>10226.569751876801</v>
      </c>
      <c r="Z26" s="317">
        <f ca="1">+'Simulador CUOTA (2)'!N26</f>
        <v>161.25</v>
      </c>
      <c r="AA26" s="317">
        <f ca="1">+'Simulador CUOTA (2)'!O26</f>
        <v>150.12</v>
      </c>
      <c r="AB26" s="317">
        <f ca="1">+'Simulador CUOTA (2)'!P26</f>
        <v>311.37</v>
      </c>
      <c r="AC26" s="318">
        <f t="shared" ref="AC26:AC74" ca="1" si="17">IFERROR(P26-AB26,"-")</f>
        <v>22.560000000000002</v>
      </c>
    </row>
    <row r="27" spans="2:41">
      <c r="B27" s="307">
        <v>4</v>
      </c>
      <c r="C27" s="366">
        <f t="shared" ca="1" si="7"/>
        <v>46333</v>
      </c>
      <c r="D27" s="356">
        <f ca="1">IF($C$16&gt;=B27,(VLOOKUP(C27,Hoja1!V:Z,5,0)),"-")</f>
        <v>46357</v>
      </c>
      <c r="E27" s="363">
        <f t="shared" ca="1" si="16"/>
        <v>30</v>
      </c>
      <c r="F27" s="309">
        <f t="shared" ca="1" si="8"/>
        <v>123</v>
      </c>
      <c r="G27" s="310">
        <f t="shared" ca="1" si="0"/>
        <v>0.93431586700000002</v>
      </c>
      <c r="H27" s="311">
        <f t="shared" ca="1" si="9"/>
        <v>10455.779751876802</v>
      </c>
      <c r="I27" s="311">
        <f t="shared" ca="1" si="1"/>
        <v>159.22</v>
      </c>
      <c r="J27" s="311">
        <f t="shared" ca="1" si="2"/>
        <v>174.71</v>
      </c>
      <c r="K27" s="311">
        <f t="shared" ca="1" si="10"/>
        <v>333.93</v>
      </c>
      <c r="L27" s="312">
        <f t="shared" ca="1" si="3"/>
        <v>10296.559751876803</v>
      </c>
      <c r="M27" s="312">
        <f ca="1">IF($C$16&gt;=B27,(IF(((P27-(J27+(I26*-1)+1))&lt;=0),1,((SUM(I$24:$I27)-(SUM($N$23:$N$25)))))),"-")</f>
        <v>309.96999999999997</v>
      </c>
      <c r="N27" s="313">
        <f ca="1">IF($C$16&gt;=B27,(IF((M27&lt;=0),1,((SUM($I$24:I27)-(SUM($N$23:N26)))))),"-")</f>
        <v>159.21999999999997</v>
      </c>
      <c r="O27" s="311">
        <f t="shared" ca="1" si="4"/>
        <v>174.71000000000004</v>
      </c>
      <c r="P27" s="312">
        <f t="shared" ca="1" si="5"/>
        <v>333.93</v>
      </c>
      <c r="Q27" s="314">
        <f t="shared" ca="1" si="11"/>
        <v>333.93</v>
      </c>
      <c r="S27" s="315" t="str">
        <f t="shared" ca="1" si="6"/>
        <v>2026/11/07</v>
      </c>
      <c r="T27" s="228" t="str">
        <f t="shared" ca="1" si="12"/>
        <v>2026</v>
      </c>
      <c r="U27" s="229" t="str">
        <f t="shared" ca="1" si="13"/>
        <v>11</v>
      </c>
      <c r="V27" s="229" t="str">
        <f t="shared" ca="1" si="14"/>
        <v>07</v>
      </c>
      <c r="Y27" s="316">
        <f ca="1">+'Simulador CUOTA (2)'!H27</f>
        <v>10065.319751876801</v>
      </c>
      <c r="Z27" s="317">
        <f ca="1">+'Simulador CUOTA (2)'!N27</f>
        <v>168.40999999999997</v>
      </c>
      <c r="AA27" s="317">
        <f ca="1">+'Simulador CUOTA (2)'!O27</f>
        <v>142.96000000000004</v>
      </c>
      <c r="AB27" s="317">
        <f ca="1">+'Simulador CUOTA (2)'!P27</f>
        <v>311.37</v>
      </c>
      <c r="AC27" s="318">
        <f t="shared" ca="1" si="17"/>
        <v>22.560000000000002</v>
      </c>
    </row>
    <row r="28" spans="2:41">
      <c r="B28" s="307">
        <v>5</v>
      </c>
      <c r="C28" s="366">
        <f t="shared" ca="1" si="7"/>
        <v>46363</v>
      </c>
      <c r="D28" s="356">
        <f ca="1">IF($C$16&gt;=B28,(VLOOKUP(C28,Hoja1!V:Z,5,0)),"-")</f>
        <v>46388</v>
      </c>
      <c r="E28" s="363">
        <f t="shared" ca="1" si="16"/>
        <v>31</v>
      </c>
      <c r="F28" s="309">
        <f t="shared" ca="1" si="8"/>
        <v>154</v>
      </c>
      <c r="G28" s="310">
        <f t="shared" ca="1" si="0"/>
        <v>0.91845352099999999</v>
      </c>
      <c r="H28" s="311">
        <f t="shared" ca="1" si="9"/>
        <v>10296.559751876803</v>
      </c>
      <c r="I28" s="311">
        <f t="shared" ca="1" si="1"/>
        <v>156.1</v>
      </c>
      <c r="J28" s="311">
        <f t="shared" ca="1" si="2"/>
        <v>177.83</v>
      </c>
      <c r="K28" s="311">
        <f t="shared" ca="1" si="10"/>
        <v>333.93</v>
      </c>
      <c r="L28" s="312">
        <f t="shared" ca="1" si="3"/>
        <v>10140.459751876802</v>
      </c>
      <c r="M28" s="319">
        <f ca="1">IF($C$16&gt;=B28,(IF(((P28-(J28+(I27*-1)+1))&lt;=0),1,((SUM(I$24:$I28)-(SUM($N$23:$N$25)))))),"-")</f>
        <v>466.07</v>
      </c>
      <c r="N28" s="313">
        <f ca="1">IF($C$16&gt;=B28,(IF((M28&lt;=0),1,((SUM($I$24:I28)-(SUM($N$23:N27)))))),"-")</f>
        <v>156.10000000000002</v>
      </c>
      <c r="O28" s="311">
        <f t="shared" ca="1" si="4"/>
        <v>177.82999999999998</v>
      </c>
      <c r="P28" s="312">
        <f t="shared" ca="1" si="5"/>
        <v>333.93</v>
      </c>
      <c r="Q28" s="314">
        <f t="shared" ca="1" si="11"/>
        <v>333.93</v>
      </c>
      <c r="S28" s="315" t="str">
        <f t="shared" ca="1" si="6"/>
        <v>2026/12/07</v>
      </c>
      <c r="T28" s="228" t="str">
        <f t="shared" ca="1" si="12"/>
        <v>2026</v>
      </c>
      <c r="U28" s="229" t="str">
        <f t="shared" ca="1" si="13"/>
        <v>12</v>
      </c>
      <c r="V28" s="229" t="str">
        <f t="shared" ca="1" si="14"/>
        <v>07</v>
      </c>
      <c r="Y28" s="316">
        <f ca="1">+'Simulador CUOTA (2)'!H28</f>
        <v>9896.9097518768012</v>
      </c>
      <c r="Z28" s="317">
        <f ca="1">+'Simulador CUOTA (2)'!N28</f>
        <v>166.08999999999992</v>
      </c>
      <c r="AA28" s="317">
        <f ca="1">+'Simulador CUOTA (2)'!O28</f>
        <v>145.28000000000009</v>
      </c>
      <c r="AB28" s="317">
        <f ca="1">+'Simulador CUOTA (2)'!P28</f>
        <v>311.37</v>
      </c>
      <c r="AC28" s="318">
        <f t="shared" ca="1" si="17"/>
        <v>22.560000000000002</v>
      </c>
    </row>
    <row r="29" spans="2:41" ht="9" customHeight="1">
      <c r="B29" s="307">
        <v>6</v>
      </c>
      <c r="C29" s="366">
        <f t="shared" ca="1" si="7"/>
        <v>46394</v>
      </c>
      <c r="D29" s="356">
        <f ca="1">IF($C$16&gt;=B29,(VLOOKUP(C29,Hoja1!V:Z,5,0)),"-")</f>
        <v>46419</v>
      </c>
      <c r="E29" s="363">
        <f ca="1">IF($C$16&gt;=B29,D29-D28,"-")</f>
        <v>31</v>
      </c>
      <c r="F29" s="309">
        <f t="shared" ca="1" si="8"/>
        <v>185</v>
      </c>
      <c r="G29" s="310">
        <f t="shared" ca="1" si="0"/>
        <v>0.90286047800000002</v>
      </c>
      <c r="H29" s="311">
        <f t="shared" ca="1" si="9"/>
        <v>10140.459751876802</v>
      </c>
      <c r="I29" s="311">
        <f t="shared" ca="1" si="1"/>
        <v>158.80000000000001</v>
      </c>
      <c r="J29" s="311">
        <f t="shared" ca="1" si="2"/>
        <v>175.13</v>
      </c>
      <c r="K29" s="311">
        <f t="shared" ca="1" si="10"/>
        <v>333.93</v>
      </c>
      <c r="L29" s="312">
        <f t="shared" ca="1" si="3"/>
        <v>9981.6597518768031</v>
      </c>
      <c r="M29" s="319">
        <f ca="1">IF($C$16&gt;=B29,(IF(((P29-(J29+(I28*-1)+1))&lt;=0),1,((SUM(I$24:$I29)-(SUM($N$23:$N$25)))))),"-")</f>
        <v>624.86999999999989</v>
      </c>
      <c r="N29" s="313">
        <f ca="1">IF($C$16&gt;=B29,(IF((M29&lt;=0),1,((SUM($I$24:I29)-(SUM($N$23:N28)))))),"-")</f>
        <v>158.79999999999995</v>
      </c>
      <c r="O29" s="311">
        <f t="shared" ca="1" si="4"/>
        <v>175.13000000000005</v>
      </c>
      <c r="P29" s="312">
        <f t="shared" ca="1" si="5"/>
        <v>333.93</v>
      </c>
      <c r="Q29" s="314">
        <f t="shared" ca="1" si="11"/>
        <v>333.93</v>
      </c>
      <c r="S29" s="315" t="str">
        <f t="shared" ca="1" si="6"/>
        <v>2027/01/07</v>
      </c>
      <c r="T29" s="228" t="str">
        <f t="shared" ca="1" si="12"/>
        <v>2027</v>
      </c>
      <c r="U29" s="229" t="str">
        <f t="shared" ca="1" si="13"/>
        <v>01</v>
      </c>
      <c r="V29" s="229" t="str">
        <f t="shared" ca="1" si="14"/>
        <v>07</v>
      </c>
      <c r="Y29" s="316">
        <f ca="1">+'Simulador CUOTA (2)'!H29</f>
        <v>9730.8197518768011</v>
      </c>
      <c r="Z29" s="317">
        <f ca="1">+'Simulador CUOTA (2)'!N29</f>
        <v>173.16000000000008</v>
      </c>
      <c r="AA29" s="317">
        <f ca="1">+'Simulador CUOTA (2)'!O29</f>
        <v>138.20999999999992</v>
      </c>
      <c r="AB29" s="317">
        <f ca="1">+'Simulador CUOTA (2)'!P29</f>
        <v>311.37</v>
      </c>
      <c r="AC29" s="318">
        <f t="shared" ca="1" si="17"/>
        <v>22.560000000000002</v>
      </c>
    </row>
    <row r="30" spans="2:41">
      <c r="B30" s="307">
        <v>7</v>
      </c>
      <c r="C30" s="366">
        <f t="shared" ca="1" si="7"/>
        <v>46425</v>
      </c>
      <c r="D30" s="356">
        <f ca="1">IF($C$16&gt;=B30,(VLOOKUP(C30,Hoja1!V:Z,5,0)),"-")</f>
        <v>46447</v>
      </c>
      <c r="E30" s="363">
        <f t="shared" ca="1" si="16"/>
        <v>28</v>
      </c>
      <c r="F30" s="309">
        <f t="shared" ca="1" si="8"/>
        <v>213</v>
      </c>
      <c r="G30" s="310">
        <f t="shared" ca="1" si="0"/>
        <v>0.88900410600000002</v>
      </c>
      <c r="H30" s="311">
        <f t="shared" ca="1" si="9"/>
        <v>9981.6597518768031</v>
      </c>
      <c r="I30" s="311">
        <f t="shared" ca="1" si="1"/>
        <v>178.35</v>
      </c>
      <c r="J30" s="311">
        <f t="shared" ca="1" si="2"/>
        <v>155.58000000000001</v>
      </c>
      <c r="K30" s="311">
        <f t="shared" ca="1" si="10"/>
        <v>333.93</v>
      </c>
      <c r="L30" s="312">
        <f t="shared" ca="1" si="3"/>
        <v>9803.3097518768027</v>
      </c>
      <c r="M30" s="319">
        <f ca="1">IF($C$16&gt;=B30,(IF(((P30-(J30+(I29*-1)+1))&lt;=0),1,((SUM(I$24:$I30)-(SUM($N$23:$N$25)))))),"-")</f>
        <v>803.2199999999998</v>
      </c>
      <c r="N30" s="313">
        <f ca="1">IF($C$16&gt;=B30,(IF((M30&lt;=0),1,((SUM($I$24:I30)-(SUM($N$23:N29)))))),"-")</f>
        <v>178.34999999999991</v>
      </c>
      <c r="O30" s="311">
        <f t="shared" ca="1" si="4"/>
        <v>155.5800000000001</v>
      </c>
      <c r="P30" s="312">
        <f t="shared" ca="1" si="5"/>
        <v>333.93</v>
      </c>
      <c r="Q30" s="314">
        <f t="shared" ca="1" si="11"/>
        <v>333.93</v>
      </c>
      <c r="S30" s="315" t="str">
        <f t="shared" ca="1" si="6"/>
        <v>2027/02/07</v>
      </c>
      <c r="T30" s="228" t="str">
        <f t="shared" ca="1" si="12"/>
        <v>2027</v>
      </c>
      <c r="U30" s="229" t="str">
        <f t="shared" ca="1" si="13"/>
        <v>02</v>
      </c>
      <c r="V30" s="229" t="str">
        <f t="shared" ca="1" si="14"/>
        <v>07</v>
      </c>
      <c r="Y30" s="316">
        <f ca="1">+'Simulador CUOTA (2)'!H30</f>
        <v>9557.6597518768012</v>
      </c>
      <c r="Z30" s="317">
        <f ca="1">+'Simulador CUOTA (2)'!N30</f>
        <v>171.06999999999994</v>
      </c>
      <c r="AA30" s="317">
        <f ca="1">+'Simulador CUOTA (2)'!O30</f>
        <v>140.30000000000007</v>
      </c>
      <c r="AB30" s="317">
        <f ca="1">+'Simulador CUOTA (2)'!P30</f>
        <v>311.37</v>
      </c>
      <c r="AC30" s="318">
        <f t="shared" ca="1" si="17"/>
        <v>22.560000000000002</v>
      </c>
    </row>
    <row r="31" spans="2:41">
      <c r="B31" s="307">
        <v>8</v>
      </c>
      <c r="C31" s="366">
        <f t="shared" ca="1" si="7"/>
        <v>46453</v>
      </c>
      <c r="D31" s="356">
        <f ca="1">IF($C$16&gt;=B31,(VLOOKUP(C31,Hoja1!V:Z,5,0)),"-")</f>
        <v>46478</v>
      </c>
      <c r="E31" s="363">
        <f t="shared" ca="1" si="16"/>
        <v>31</v>
      </c>
      <c r="F31" s="309">
        <f t="shared" ca="1" si="8"/>
        <v>244</v>
      </c>
      <c r="G31" s="310">
        <f t="shared" ca="1" si="0"/>
        <v>0.87391103999999997</v>
      </c>
      <c r="H31" s="311">
        <f t="shared" ca="1" si="9"/>
        <v>9803.3097518768027</v>
      </c>
      <c r="I31" s="311">
        <f t="shared" ca="1" si="1"/>
        <v>164.62</v>
      </c>
      <c r="J31" s="311">
        <f t="shared" ca="1" si="2"/>
        <v>169.31</v>
      </c>
      <c r="K31" s="311">
        <f t="shared" ca="1" si="10"/>
        <v>333.93</v>
      </c>
      <c r="L31" s="312">
        <f t="shared" ca="1" si="3"/>
        <v>9638.6897518768019</v>
      </c>
      <c r="M31" s="319">
        <f ca="1">IF($C$16&gt;=B31,(IF(((P31-(J31+(I30*-1)+1))&lt;=0),1,((SUM(I$24:$I31)-(SUM($N$23:$N$25)))))),"-")</f>
        <v>967.83999999999992</v>
      </c>
      <c r="N31" s="313">
        <f ca="1">IF($C$16&gt;=B31,(IF((M31&lt;=0),1,((SUM($I$24:I31)-(SUM($N$23:N30)))))),"-")</f>
        <v>164.62000000000012</v>
      </c>
      <c r="O31" s="311">
        <f t="shared" ca="1" si="4"/>
        <v>169.30999999999989</v>
      </c>
      <c r="P31" s="312">
        <f t="shared" ca="1" si="5"/>
        <v>333.93</v>
      </c>
      <c r="Q31" s="314">
        <f t="shared" ca="1" si="11"/>
        <v>333.93</v>
      </c>
      <c r="S31" s="315" t="str">
        <f t="shared" ca="1" si="6"/>
        <v>2027/03/07</v>
      </c>
      <c r="T31" s="228" t="str">
        <f t="shared" ca="1" si="12"/>
        <v>2027</v>
      </c>
      <c r="U31" s="229" t="str">
        <f t="shared" ca="1" si="13"/>
        <v>03</v>
      </c>
      <c r="V31" s="229" t="str">
        <f t="shared" ca="1" si="14"/>
        <v>07</v>
      </c>
      <c r="Y31" s="316">
        <f ca="1">+'Simulador CUOTA (2)'!H31</f>
        <v>9386.5897518768015</v>
      </c>
      <c r="Z31" s="317">
        <f ca="1">+'Simulador CUOTA (2)'!N31</f>
        <v>173.57999999999993</v>
      </c>
      <c r="AA31" s="317">
        <f ca="1">+'Simulador CUOTA (2)'!O31</f>
        <v>137.79000000000008</v>
      </c>
      <c r="AB31" s="317">
        <f ca="1">+'Simulador CUOTA (2)'!P31</f>
        <v>311.37</v>
      </c>
      <c r="AC31" s="318">
        <f t="shared" ca="1" si="17"/>
        <v>22.560000000000002</v>
      </c>
    </row>
    <row r="32" spans="2:41">
      <c r="B32" s="307">
        <v>9</v>
      </c>
      <c r="C32" s="308">
        <f t="shared" ca="1" si="7"/>
        <v>46484</v>
      </c>
      <c r="D32" s="356">
        <f ca="1">IF($C$16&gt;=B32,(VLOOKUP(C32,Hoja1!V:Z,5,0)),"-")</f>
        <v>46508</v>
      </c>
      <c r="E32" s="363">
        <f t="shared" ca="1" si="16"/>
        <v>30</v>
      </c>
      <c r="F32" s="309">
        <f t="shared" ca="1" si="8"/>
        <v>274</v>
      </c>
      <c r="G32" s="310">
        <f t="shared" ca="1" si="0"/>
        <v>0.85954886900000005</v>
      </c>
      <c r="H32" s="311">
        <f t="shared" ca="1" si="9"/>
        <v>9638.6897518768019</v>
      </c>
      <c r="I32" s="311">
        <f t="shared" ca="1" si="1"/>
        <v>172.88</v>
      </c>
      <c r="J32" s="311">
        <f t="shared" ca="1" si="2"/>
        <v>161.05000000000001</v>
      </c>
      <c r="K32" s="311">
        <f t="shared" ca="1" si="10"/>
        <v>333.93</v>
      </c>
      <c r="L32" s="312">
        <f t="shared" ca="1" si="3"/>
        <v>9465.8097518768027</v>
      </c>
      <c r="M32" s="319">
        <f ca="1">IF($C$16&gt;=B32,(IF(((P32-(J32+(I31*-1)+1))&lt;=0),1,((SUM(I$24:$I32)-(SUM($N$23:$N$25)))))),"-")</f>
        <v>1140.72</v>
      </c>
      <c r="N32" s="313">
        <f ca="1">IF($C$16&gt;=B32,(IF((M32&lt;=0),1,((SUM($I$24:I32)-(SUM($N$23:N31)))))),"-")</f>
        <v>172.88000000000011</v>
      </c>
      <c r="O32" s="311">
        <f t="shared" ca="1" si="4"/>
        <v>161.0499999999999</v>
      </c>
      <c r="P32" s="312">
        <f t="shared" ca="1" si="5"/>
        <v>333.93</v>
      </c>
      <c r="Q32" s="314">
        <f t="shared" ca="1" si="11"/>
        <v>333.93</v>
      </c>
      <c r="S32" s="315" t="str">
        <f t="shared" ca="1" si="6"/>
        <v>2027/04/07</v>
      </c>
      <c r="T32" s="228" t="str">
        <f t="shared" ca="1" si="12"/>
        <v>2027</v>
      </c>
      <c r="U32" s="229" t="str">
        <f t="shared" ca="1" si="13"/>
        <v>04</v>
      </c>
      <c r="V32" s="229" t="str">
        <f t="shared" ca="1" si="14"/>
        <v>07</v>
      </c>
      <c r="Y32" s="316">
        <f ca="1">+'Simulador CUOTA (2)'!H32</f>
        <v>9213.0097518768016</v>
      </c>
      <c r="Z32" s="317">
        <f ca="1">+'Simulador CUOTA (2)'!N32</f>
        <v>189.29999999999995</v>
      </c>
      <c r="AA32" s="317">
        <f ca="1">+'Simulador CUOTA (2)'!O32</f>
        <v>122.07000000000005</v>
      </c>
      <c r="AB32" s="317">
        <f ca="1">+'Simulador CUOTA (2)'!P32</f>
        <v>311.37</v>
      </c>
      <c r="AC32" s="318">
        <f t="shared" ca="1" si="17"/>
        <v>22.560000000000002</v>
      </c>
    </row>
    <row r="33" spans="2:29">
      <c r="B33" s="307">
        <v>10</v>
      </c>
      <c r="C33" s="308">
        <f t="shared" ca="1" si="7"/>
        <v>46514</v>
      </c>
      <c r="D33" s="356">
        <f ca="1">IF($C$16&gt;=B33,(VLOOKUP(C33,Hoja1!V:Z,5,0)),"-")</f>
        <v>46539</v>
      </c>
      <c r="E33" s="363">
        <f t="shared" ca="1" si="16"/>
        <v>31</v>
      </c>
      <c r="F33" s="309">
        <f t="shared" ca="1" si="8"/>
        <v>305</v>
      </c>
      <c r="G33" s="310">
        <f t="shared" ca="1" si="0"/>
        <v>0.84495587999999999</v>
      </c>
      <c r="H33" s="311">
        <f t="shared" ca="1" si="9"/>
        <v>9465.8097518768027</v>
      </c>
      <c r="I33" s="311">
        <f t="shared" ca="1" si="1"/>
        <v>170.45000000000002</v>
      </c>
      <c r="J33" s="311">
        <f t="shared" ca="1" si="2"/>
        <v>163.47999999999999</v>
      </c>
      <c r="K33" s="311">
        <f t="shared" ca="1" si="10"/>
        <v>333.93</v>
      </c>
      <c r="L33" s="312">
        <f t="shared" ca="1" si="3"/>
        <v>9295.359751876802</v>
      </c>
      <c r="M33" s="319">
        <f ca="1">IF($C$16&gt;=B33,(IF(((P33-(J33+(I32*-1)+1))&lt;=0),1,((SUM(I$24:$I33)-(SUM($N$23:$N$25)))))),"-")</f>
        <v>1311.17</v>
      </c>
      <c r="N33" s="313">
        <f ca="1">IF($C$16&gt;=B33,(IF((M33&lt;=0),1,((SUM($I$24:I33)-(SUM($N$23:N32)))))),"-")</f>
        <v>170.45000000000005</v>
      </c>
      <c r="O33" s="311">
        <f t="shared" ca="1" si="4"/>
        <v>163.47999999999996</v>
      </c>
      <c r="P33" s="312">
        <f t="shared" ca="1" si="5"/>
        <v>333.93</v>
      </c>
      <c r="Q33" s="314">
        <f t="shared" ca="1" si="11"/>
        <v>333.93</v>
      </c>
      <c r="S33" s="315" t="str">
        <f t="shared" ca="1" si="6"/>
        <v>2027/05/07</v>
      </c>
      <c r="T33" s="228" t="str">
        <f t="shared" ca="1" si="12"/>
        <v>2027</v>
      </c>
      <c r="U33" s="229" t="str">
        <f t="shared" ca="1" si="13"/>
        <v>05</v>
      </c>
      <c r="V33" s="229" t="str">
        <f t="shared" ca="1" si="14"/>
        <v>07</v>
      </c>
      <c r="Y33" s="316">
        <f ca="1">+'Simulador CUOTA (2)'!H33</f>
        <v>9023.7097518768023</v>
      </c>
      <c r="Z33" s="317">
        <f ca="1">+'Simulador CUOTA (2)'!N33</f>
        <v>178.89999999999986</v>
      </c>
      <c r="AA33" s="317">
        <f ca="1">+'Simulador CUOTA (2)'!O33</f>
        <v>132.47000000000014</v>
      </c>
      <c r="AB33" s="317">
        <f ca="1">+'Simulador CUOTA (2)'!P33</f>
        <v>311.37</v>
      </c>
      <c r="AC33" s="318">
        <f t="shared" ca="1" si="17"/>
        <v>22.560000000000002</v>
      </c>
    </row>
    <row r="34" spans="2:29">
      <c r="B34" s="307">
        <v>11</v>
      </c>
      <c r="C34" s="308">
        <f t="shared" ca="1" si="7"/>
        <v>46545</v>
      </c>
      <c r="D34" s="356">
        <f ca="1">IF($C$16&gt;=B34,(VLOOKUP(C34,Hoja1!V:Z,5,0)),"-")</f>
        <v>46569</v>
      </c>
      <c r="E34" s="363">
        <f t="shared" ca="1" si="16"/>
        <v>30</v>
      </c>
      <c r="F34" s="309">
        <f t="shared" ca="1" si="8"/>
        <v>335</v>
      </c>
      <c r="G34" s="310">
        <f t="shared" ca="1" si="0"/>
        <v>0.83106956799999998</v>
      </c>
      <c r="H34" s="311">
        <f t="shared" ca="1" si="9"/>
        <v>9295.359751876802</v>
      </c>
      <c r="I34" s="311">
        <f t="shared" ca="1" si="1"/>
        <v>178.61</v>
      </c>
      <c r="J34" s="311">
        <f t="shared" ca="1" si="2"/>
        <v>155.32</v>
      </c>
      <c r="K34" s="311">
        <f t="shared" ca="1" si="10"/>
        <v>333.93</v>
      </c>
      <c r="L34" s="312">
        <f t="shared" ca="1" si="3"/>
        <v>9116.7497518768014</v>
      </c>
      <c r="M34" s="319">
        <f ca="1">IF($C$16&gt;=B34,(IF(((P34-(J34+(I33*-1)+1))&lt;=0),1,((SUM(I$24:$I34)-(SUM($N$23:$N$25)))))),"-")</f>
        <v>1489.78</v>
      </c>
      <c r="N34" s="313">
        <f ca="1">IF($C$16&gt;=B34,(IF((M34&lt;=0),1,((SUM($I$24:I34)-(SUM($N$23:N33)))))),"-")</f>
        <v>178.6099999999999</v>
      </c>
      <c r="O34" s="311">
        <f t="shared" ca="1" si="4"/>
        <v>155.32000000000011</v>
      </c>
      <c r="P34" s="312">
        <f t="shared" ca="1" si="5"/>
        <v>333.93</v>
      </c>
      <c r="Q34" s="314">
        <f t="shared" ca="1" si="11"/>
        <v>333.93</v>
      </c>
      <c r="S34" s="315" t="str">
        <f t="shared" ca="1" si="6"/>
        <v>2027/06/07</v>
      </c>
      <c r="T34" s="228" t="str">
        <f t="shared" ca="1" si="12"/>
        <v>2027</v>
      </c>
      <c r="U34" s="229" t="str">
        <f t="shared" ca="1" si="13"/>
        <v>06</v>
      </c>
      <c r="V34" s="229" t="str">
        <f t="shared" ca="1" si="14"/>
        <v>07</v>
      </c>
      <c r="Y34" s="316">
        <f ca="1">+'Simulador CUOTA (2)'!H34</f>
        <v>8844.8097518768027</v>
      </c>
      <c r="Z34" s="317">
        <f ca="1">+'Simulador CUOTA (2)'!N34</f>
        <v>185.75</v>
      </c>
      <c r="AA34" s="317">
        <f ca="1">+'Simulador CUOTA (2)'!O34</f>
        <v>125.62</v>
      </c>
      <c r="AB34" s="317">
        <f ca="1">+'Simulador CUOTA (2)'!P34</f>
        <v>311.37</v>
      </c>
      <c r="AC34" s="318">
        <f t="shared" ca="1" si="17"/>
        <v>22.560000000000002</v>
      </c>
    </row>
    <row r="35" spans="2:29">
      <c r="B35" s="307">
        <v>12</v>
      </c>
      <c r="C35" s="308">
        <f t="shared" ca="1" si="7"/>
        <v>46575</v>
      </c>
      <c r="D35" s="356">
        <f ca="1">IF($C$16&gt;=B35,(VLOOKUP(C35,Hoja1!V:Z,5,0)),"-")</f>
        <v>46600</v>
      </c>
      <c r="E35" s="363">
        <f t="shared" ca="1" si="16"/>
        <v>31</v>
      </c>
      <c r="F35" s="309">
        <f t="shared" ca="1" si="8"/>
        <v>366</v>
      </c>
      <c r="G35" s="310">
        <f t="shared" ca="1" si="0"/>
        <v>0.81696008600000003</v>
      </c>
      <c r="H35" s="311">
        <f t="shared" ca="1" si="9"/>
        <v>9116.7497518768014</v>
      </c>
      <c r="I35" s="311">
        <f t="shared" ca="1" si="1"/>
        <v>176.48000000000002</v>
      </c>
      <c r="J35" s="311">
        <f t="shared" ca="1" si="2"/>
        <v>157.44999999999999</v>
      </c>
      <c r="K35" s="311">
        <f t="shared" ca="1" si="10"/>
        <v>333.93</v>
      </c>
      <c r="L35" s="312">
        <f t="shared" ca="1" si="3"/>
        <v>8940.2697518768018</v>
      </c>
      <c r="M35" s="319">
        <f ca="1">IF($C$16&gt;=B35,(IF(((P35-(J35+(I34*-1)+1))&lt;=0),1,((SUM(I$24:$I35)-(SUM($N$23:$N$25)))))),"-")</f>
        <v>1666.26</v>
      </c>
      <c r="N35" s="313">
        <f ca="1">IF($C$16&gt;=B35,(IF((M35&lt;=0),1,((SUM($I$24:I35)-(SUM($N$23:N34)))))),"-")</f>
        <v>176.48000000000002</v>
      </c>
      <c r="O35" s="311">
        <f t="shared" ca="1" si="4"/>
        <v>157.44999999999999</v>
      </c>
      <c r="P35" s="312">
        <f t="shared" ca="1" si="5"/>
        <v>333.93</v>
      </c>
      <c r="Q35" s="314">
        <f t="shared" ca="1" si="11"/>
        <v>333.93</v>
      </c>
      <c r="S35" s="315" t="str">
        <f t="shared" ca="1" si="6"/>
        <v>2027/07/07</v>
      </c>
      <c r="T35" s="228" t="str">
        <f t="shared" ca="1" si="12"/>
        <v>2027</v>
      </c>
      <c r="U35" s="229" t="str">
        <f t="shared" ca="1" si="13"/>
        <v>07</v>
      </c>
      <c r="V35" s="229" t="str">
        <f t="shared" ca="1" si="14"/>
        <v>07</v>
      </c>
      <c r="Y35" s="316">
        <f ca="1">+'Simulador CUOTA (2)'!H35</f>
        <v>8659.0597518768027</v>
      </c>
      <c r="Z35" s="317">
        <f ca="1">+'Simulador CUOTA (2)'!N35</f>
        <v>184.26000000000022</v>
      </c>
      <c r="AA35" s="317">
        <f ca="1">+'Simulador CUOTA (2)'!O35</f>
        <v>127.10999999999979</v>
      </c>
      <c r="AB35" s="317">
        <f ca="1">+'Simulador CUOTA (2)'!P35</f>
        <v>311.37</v>
      </c>
      <c r="AC35" s="318">
        <f t="shared" ca="1" si="17"/>
        <v>22.560000000000002</v>
      </c>
    </row>
    <row r="36" spans="2:29">
      <c r="B36" s="307">
        <v>13</v>
      </c>
      <c r="C36" s="308">
        <f t="shared" ca="1" si="7"/>
        <v>46606</v>
      </c>
      <c r="D36" s="356">
        <f ca="1">IF($C$16&gt;=B36,(VLOOKUP(C36,Hoja1!V:Z,5,0)),"-")</f>
        <v>46631</v>
      </c>
      <c r="E36" s="363">
        <f t="shared" ca="1" si="16"/>
        <v>31</v>
      </c>
      <c r="F36" s="309">
        <f t="shared" ca="1" si="8"/>
        <v>397</v>
      </c>
      <c r="G36" s="310">
        <f t="shared" ca="1" si="0"/>
        <v>0.80309014700000003</v>
      </c>
      <c r="H36" s="311">
        <f t="shared" ca="1" si="9"/>
        <v>8940.2697518768018</v>
      </c>
      <c r="I36" s="311">
        <f t="shared" ca="1" si="1"/>
        <v>179.53</v>
      </c>
      <c r="J36" s="311">
        <f t="shared" ca="1" si="2"/>
        <v>154.4</v>
      </c>
      <c r="K36" s="311">
        <f t="shared" ca="1" si="10"/>
        <v>333.93</v>
      </c>
      <c r="L36" s="312">
        <f t="shared" ca="1" si="3"/>
        <v>8760.7397518768012</v>
      </c>
      <c r="M36" s="319">
        <f ca="1">IF($C$16&gt;=B36,(IF(((P36-(J36+(I35*-1)+1))&lt;=0),1,((SUM(I$24:$I36)-(SUM($N$23:$N$25)))))),"-")</f>
        <v>1845.7900000000002</v>
      </c>
      <c r="N36" s="313">
        <f ca="1">IF($C$16&gt;=B36,(IF((M36&lt;=0),1,((SUM($I$24:I36)-(SUM($N$23:N35)))))),"-")</f>
        <v>179.5300000000002</v>
      </c>
      <c r="O36" s="311">
        <f t="shared" ca="1" si="4"/>
        <v>154.39999999999981</v>
      </c>
      <c r="P36" s="312">
        <f t="shared" ca="1" si="5"/>
        <v>333.93</v>
      </c>
      <c r="Q36" s="314">
        <f t="shared" ca="1" si="11"/>
        <v>333.93</v>
      </c>
      <c r="S36" s="315" t="str">
        <f t="shared" ca="1" si="6"/>
        <v>2027/08/07</v>
      </c>
      <c r="T36" s="228" t="str">
        <f t="shared" ca="1" si="12"/>
        <v>2027</v>
      </c>
      <c r="U36" s="229" t="str">
        <f t="shared" ca="1" si="13"/>
        <v>08</v>
      </c>
      <c r="V36" s="229" t="str">
        <f t="shared" ca="1" si="14"/>
        <v>07</v>
      </c>
      <c r="Y36" s="316">
        <f ca="1">+'Simulador CUOTA (2)'!H36</f>
        <v>8474.7997518768025</v>
      </c>
      <c r="Z36" s="317">
        <f ca="1">+'Simulador CUOTA (2)'!N36</f>
        <v>191</v>
      </c>
      <c r="AA36" s="317">
        <f ca="1">+'Simulador CUOTA (2)'!O36</f>
        <v>120.37</v>
      </c>
      <c r="AB36" s="317">
        <f ca="1">+'Simulador CUOTA (2)'!P36</f>
        <v>311.37</v>
      </c>
      <c r="AC36" s="318">
        <f t="shared" ca="1" si="17"/>
        <v>22.560000000000002</v>
      </c>
    </row>
    <row r="37" spans="2:29">
      <c r="B37" s="307">
        <v>14</v>
      </c>
      <c r="C37" s="308">
        <f t="shared" ca="1" si="7"/>
        <v>46637</v>
      </c>
      <c r="D37" s="356">
        <f ca="1">IF($C$16&gt;=B37,(VLOOKUP(C37,Hoja1!V:Z,5,0)),"-")</f>
        <v>46661</v>
      </c>
      <c r="E37" s="363">
        <f t="shared" ca="1" si="16"/>
        <v>30</v>
      </c>
      <c r="F37" s="309">
        <f t="shared" ca="1" si="8"/>
        <v>427</v>
      </c>
      <c r="G37" s="310">
        <f t="shared" ca="1" si="0"/>
        <v>0.78989187299999997</v>
      </c>
      <c r="H37" s="311">
        <f t="shared" ca="1" si="9"/>
        <v>8760.7397518768012</v>
      </c>
      <c r="I37" s="311">
        <f t="shared" ca="1" si="1"/>
        <v>187.55</v>
      </c>
      <c r="J37" s="311">
        <f t="shared" ca="1" si="2"/>
        <v>146.38</v>
      </c>
      <c r="K37" s="311">
        <f t="shared" ca="1" si="10"/>
        <v>333.93</v>
      </c>
      <c r="L37" s="312">
        <f t="shared" ca="1" si="3"/>
        <v>8573.1897518768019</v>
      </c>
      <c r="M37" s="319">
        <f ca="1">IF($C$16&gt;=B37,(IF(((P37-(J37+(I36*-1)+1))&lt;=0),1,((SUM(I$24:$I37)-(SUM($N$23:$N$25)))))),"-")</f>
        <v>2033.3400000000004</v>
      </c>
      <c r="N37" s="313">
        <f ca="1">IF($C$16&gt;=B37,(IF((M37&lt;=0),1,((SUM($I$24:I37)-(SUM($N$23:N36)))))),"-")</f>
        <v>187.55000000000018</v>
      </c>
      <c r="O37" s="311">
        <f t="shared" ca="1" si="4"/>
        <v>146.37999999999982</v>
      </c>
      <c r="P37" s="312">
        <f t="shared" ca="1" si="5"/>
        <v>333.93</v>
      </c>
      <c r="Q37" s="314">
        <f t="shared" ca="1" si="11"/>
        <v>333.93</v>
      </c>
      <c r="S37" s="315" t="str">
        <f t="shared" ca="1" si="6"/>
        <v>2027/09/07</v>
      </c>
      <c r="T37" s="228" t="str">
        <f t="shared" ca="1" si="12"/>
        <v>2027</v>
      </c>
      <c r="U37" s="229" t="str">
        <f t="shared" ca="1" si="13"/>
        <v>09</v>
      </c>
      <c r="V37" s="229" t="str">
        <f t="shared" ca="1" si="14"/>
        <v>07</v>
      </c>
      <c r="Y37" s="316">
        <f ca="1">+'Simulador CUOTA (2)'!H37</f>
        <v>8283.7997518768025</v>
      </c>
      <c r="Z37" s="317">
        <f ca="1">+'Simulador CUOTA (2)'!N37</f>
        <v>189.76999999999998</v>
      </c>
      <c r="AA37" s="317">
        <f ca="1">+'Simulador CUOTA (2)'!O37</f>
        <v>121.60000000000002</v>
      </c>
      <c r="AB37" s="317">
        <f ca="1">+'Simulador CUOTA (2)'!P37</f>
        <v>311.37</v>
      </c>
      <c r="AC37" s="318">
        <f t="shared" ca="1" si="17"/>
        <v>22.560000000000002</v>
      </c>
    </row>
    <row r="38" spans="2:29">
      <c r="B38" s="307">
        <v>15</v>
      </c>
      <c r="C38" s="308">
        <f t="shared" ca="1" si="7"/>
        <v>46667</v>
      </c>
      <c r="D38" s="356">
        <f ca="1">IF($C$16&gt;=B38,(VLOOKUP(C38,Hoja1!V:Z,5,0)),"-")</f>
        <v>46692</v>
      </c>
      <c r="E38" s="363">
        <f t="shared" ca="1" si="16"/>
        <v>31</v>
      </c>
      <c r="F38" s="309">
        <f t="shared" ca="1" si="8"/>
        <v>458</v>
      </c>
      <c r="G38" s="310">
        <f t="shared" ca="1" si="0"/>
        <v>0.77648148500000003</v>
      </c>
      <c r="H38" s="311">
        <f t="shared" ca="1" si="9"/>
        <v>8573.1897518768019</v>
      </c>
      <c r="I38" s="311">
        <f t="shared" ca="1" si="1"/>
        <v>185.86</v>
      </c>
      <c r="J38" s="311">
        <f t="shared" ca="1" si="2"/>
        <v>148.07</v>
      </c>
      <c r="K38" s="311">
        <f t="shared" ca="1" si="10"/>
        <v>333.93</v>
      </c>
      <c r="L38" s="312">
        <f t="shared" ca="1" si="3"/>
        <v>8387.3297518768013</v>
      </c>
      <c r="M38" s="319">
        <f ca="1">IF($C$16&gt;=B38,(IF(((P38-(J38+(I37*-1)+1))&lt;=0),1,((SUM(I$24:$I38)-(SUM($N$23:$N$25)))))),"-")</f>
        <v>2219.2000000000007</v>
      </c>
      <c r="N38" s="313">
        <f ca="1">IF($C$16&gt;=B38,(IF((M38&lt;=0),1,((SUM($I$24:I38)-(SUM($N$23:N37)))))),"-")</f>
        <v>185.86000000000013</v>
      </c>
      <c r="O38" s="311">
        <f t="shared" ca="1" si="4"/>
        <v>148.06999999999988</v>
      </c>
      <c r="P38" s="312">
        <f t="shared" ca="1" si="5"/>
        <v>333.93</v>
      </c>
      <c r="Q38" s="314">
        <f t="shared" ca="1" si="11"/>
        <v>333.93</v>
      </c>
      <c r="S38" s="315" t="str">
        <f t="shared" ca="1" si="6"/>
        <v>2027/10/07</v>
      </c>
      <c r="T38" s="228" t="str">
        <f t="shared" ca="1" si="12"/>
        <v>2027</v>
      </c>
      <c r="U38" s="229" t="str">
        <f t="shared" ca="1" si="13"/>
        <v>10</v>
      </c>
      <c r="V38" s="229" t="str">
        <f t="shared" ca="1" si="14"/>
        <v>07</v>
      </c>
      <c r="Y38" s="316">
        <f ca="1">+'Simulador CUOTA (2)'!H38</f>
        <v>8094.029751876802</v>
      </c>
      <c r="Z38" s="317">
        <f ca="1">+'Simulador CUOTA (2)'!N38</f>
        <v>192.55000000000018</v>
      </c>
      <c r="AA38" s="317">
        <f ca="1">+'Simulador CUOTA (2)'!O38</f>
        <v>118.81999999999982</v>
      </c>
      <c r="AB38" s="317">
        <f ca="1">+'Simulador CUOTA (2)'!P38</f>
        <v>311.37</v>
      </c>
      <c r="AC38" s="318">
        <f t="shared" ca="1" si="17"/>
        <v>22.560000000000002</v>
      </c>
    </row>
    <row r="39" spans="2:29">
      <c r="B39" s="307">
        <v>16</v>
      </c>
      <c r="C39" s="308">
        <f t="shared" ca="1" si="7"/>
        <v>46698</v>
      </c>
      <c r="D39" s="356">
        <f ca="1">IF($C$16&gt;=B39,(VLOOKUP(C39,Hoja1!V:Z,5,0)),"-")</f>
        <v>46722</v>
      </c>
      <c r="E39" s="363">
        <f t="shared" ca="1" si="16"/>
        <v>30</v>
      </c>
      <c r="F39" s="309">
        <f t="shared" ca="1" si="8"/>
        <v>488</v>
      </c>
      <c r="G39" s="310">
        <f t="shared" ca="1" si="0"/>
        <v>0.76372050599999997</v>
      </c>
      <c r="H39" s="311">
        <f t="shared" ca="1" si="9"/>
        <v>8387.3297518768013</v>
      </c>
      <c r="I39" s="311">
        <f t="shared" ca="1" si="1"/>
        <v>193.79000000000002</v>
      </c>
      <c r="J39" s="311">
        <f t="shared" ca="1" si="2"/>
        <v>140.13999999999999</v>
      </c>
      <c r="K39" s="311">
        <f t="shared" ca="1" si="10"/>
        <v>333.93</v>
      </c>
      <c r="L39" s="312">
        <f t="shared" ca="1" si="3"/>
        <v>8193.5397518768004</v>
      </c>
      <c r="M39" s="319">
        <f ca="1">IF($C$16&gt;=B39,(IF(((P39-(J39+(I38*-1)+1))&lt;=0),1,((SUM(I$24:$I39)-(SUM($N$23:$N$25)))))),"-")</f>
        <v>2412.9900000000007</v>
      </c>
      <c r="N39" s="313">
        <f ca="1">IF($C$16&gt;=B39,(IF((M39&lt;=0),1,((SUM($I$24:I39)-(SUM($N$23:N38)))))),"-")</f>
        <v>193.78999999999996</v>
      </c>
      <c r="O39" s="311">
        <f t="shared" ca="1" si="4"/>
        <v>140.14000000000004</v>
      </c>
      <c r="P39" s="312">
        <f t="shared" ca="1" si="5"/>
        <v>333.93</v>
      </c>
      <c r="Q39" s="314">
        <f t="shared" ca="1" si="11"/>
        <v>333.93</v>
      </c>
      <c r="S39" s="315" t="str">
        <f t="shared" ca="1" si="6"/>
        <v>2027/11/07</v>
      </c>
      <c r="T39" s="228" t="str">
        <f t="shared" ca="1" si="12"/>
        <v>2027</v>
      </c>
      <c r="U39" s="229" t="str">
        <f t="shared" ca="1" si="13"/>
        <v>11</v>
      </c>
      <c r="V39" s="229" t="str">
        <f t="shared" ca="1" si="14"/>
        <v>07</v>
      </c>
      <c r="Y39" s="316">
        <f ca="1">+'Simulador CUOTA (2)'!H39</f>
        <v>7901.4797518768019</v>
      </c>
      <c r="Z39" s="317">
        <f ca="1">+'Simulador CUOTA (2)'!N39</f>
        <v>199.15000000000009</v>
      </c>
      <c r="AA39" s="317">
        <f ca="1">+'Simulador CUOTA (2)'!O39</f>
        <v>112.21999999999991</v>
      </c>
      <c r="AB39" s="317">
        <f ca="1">+'Simulador CUOTA (2)'!P39</f>
        <v>311.37</v>
      </c>
      <c r="AC39" s="318">
        <f t="shared" ca="1" si="17"/>
        <v>22.560000000000002</v>
      </c>
    </row>
    <row r="40" spans="2:29">
      <c r="B40" s="307">
        <v>17</v>
      </c>
      <c r="C40" s="308">
        <f t="shared" ca="1" si="7"/>
        <v>46728</v>
      </c>
      <c r="D40" s="356">
        <f ca="1">IF($C$16&gt;=B40,(VLOOKUP(C40,Hoja1!V:Z,5,0)),"-")</f>
        <v>46753</v>
      </c>
      <c r="E40" s="363">
        <f t="shared" ca="1" si="16"/>
        <v>31</v>
      </c>
      <c r="F40" s="309">
        <f t="shared" ca="1" si="8"/>
        <v>519</v>
      </c>
      <c r="G40" s="310">
        <f t="shared" ca="1" si="0"/>
        <v>0.75075444300000005</v>
      </c>
      <c r="H40" s="311">
        <f t="shared" ca="1" si="9"/>
        <v>8193.5397518768004</v>
      </c>
      <c r="I40" s="311">
        <f t="shared" ca="1" si="1"/>
        <v>192.42000000000002</v>
      </c>
      <c r="J40" s="311">
        <f t="shared" ca="1" si="2"/>
        <v>141.51</v>
      </c>
      <c r="K40" s="311">
        <f t="shared" ca="1" si="10"/>
        <v>333.93</v>
      </c>
      <c r="L40" s="312">
        <f t="shared" ca="1" si="3"/>
        <v>8001.1197518768004</v>
      </c>
      <c r="M40" s="319">
        <f ca="1">IF($C$16&gt;=B40,(IF(((P40-(J40+(I39*-1)+1))&lt;=0),1,((SUM(I$24:$I40)-(SUM($N$23:$N$25)))))),"-")</f>
        <v>2605.4100000000008</v>
      </c>
      <c r="N40" s="313">
        <f ca="1">IF($C$16&gt;=B40,(IF((M40&lt;=0),1,((SUM($I$24:I40)-(SUM($N$23:N39)))))),"-")</f>
        <v>192.42000000000007</v>
      </c>
      <c r="O40" s="311">
        <f t="shared" ca="1" si="4"/>
        <v>141.50999999999993</v>
      </c>
      <c r="P40" s="312">
        <f t="shared" ca="1" si="5"/>
        <v>333.93</v>
      </c>
      <c r="Q40" s="314">
        <f t="shared" ca="1" si="11"/>
        <v>333.93</v>
      </c>
      <c r="S40" s="315" t="str">
        <f t="shared" ca="1" si="6"/>
        <v>2027/12/07</v>
      </c>
      <c r="T40" s="228" t="str">
        <f t="shared" ca="1" si="12"/>
        <v>2027</v>
      </c>
      <c r="U40" s="229" t="str">
        <f t="shared" ca="1" si="13"/>
        <v>12</v>
      </c>
      <c r="V40" s="229" t="str">
        <f t="shared" ca="1" si="14"/>
        <v>07</v>
      </c>
      <c r="Y40" s="316">
        <f ca="1">+'Simulador CUOTA (2)'!H40</f>
        <v>7702.3297518768022</v>
      </c>
      <c r="Z40" s="317">
        <f ca="1">+'Simulador CUOTA (2)'!N40</f>
        <v>198.30000000000018</v>
      </c>
      <c r="AA40" s="317">
        <f ca="1">+'Simulador CUOTA (2)'!O40</f>
        <v>113.06999999999982</v>
      </c>
      <c r="AB40" s="317">
        <f ca="1">+'Simulador CUOTA (2)'!P40</f>
        <v>311.37</v>
      </c>
      <c r="AC40" s="318">
        <f t="shared" ca="1" si="17"/>
        <v>22.560000000000002</v>
      </c>
    </row>
    <row r="41" spans="2:29">
      <c r="B41" s="307">
        <v>18</v>
      </c>
      <c r="C41" s="308">
        <f t="shared" ca="1" si="7"/>
        <v>46759</v>
      </c>
      <c r="D41" s="356">
        <f ca="1">IF($C$16&gt;=B41,(VLOOKUP(C41,Hoja1!V:Z,5,0)),"-")</f>
        <v>46784</v>
      </c>
      <c r="E41" s="363">
        <f t="shared" ca="1" si="16"/>
        <v>31</v>
      </c>
      <c r="F41" s="309">
        <f t="shared" ca="1" si="8"/>
        <v>550</v>
      </c>
      <c r="G41" s="310">
        <f t="shared" ca="1" si="0"/>
        <v>0.73800851000000001</v>
      </c>
      <c r="H41" s="311">
        <f t="shared" ca="1" si="9"/>
        <v>8001.1197518768004</v>
      </c>
      <c r="I41" s="311">
        <f t="shared" ca="1" si="1"/>
        <v>195.74</v>
      </c>
      <c r="J41" s="311">
        <f t="shared" ca="1" si="2"/>
        <v>138.19</v>
      </c>
      <c r="K41" s="311">
        <f t="shared" ca="1" si="10"/>
        <v>333.93</v>
      </c>
      <c r="L41" s="312">
        <f t="shared" ca="1" si="3"/>
        <v>7805.3797518768006</v>
      </c>
      <c r="M41" s="319">
        <f ca="1">IF($C$16&gt;=B41,(IF(((P41-(J41+(I40*-1)+1))&lt;=0),1,((SUM(I$24:$I41)-(SUM($N$23:$N$25)))))),"-")</f>
        <v>2801.150000000001</v>
      </c>
      <c r="N41" s="313">
        <f ca="1">IF($C$16&gt;=B41,(IF((M41&lt;=0),1,((SUM($I$24:I41)-(SUM($N$23:N40)))))),"-")</f>
        <v>195.74000000000024</v>
      </c>
      <c r="O41" s="311">
        <f t="shared" ca="1" si="4"/>
        <v>138.18999999999977</v>
      </c>
      <c r="P41" s="312">
        <f t="shared" ca="1" si="5"/>
        <v>333.93</v>
      </c>
      <c r="Q41" s="314">
        <f t="shared" ca="1" si="11"/>
        <v>333.93</v>
      </c>
      <c r="S41" s="315" t="str">
        <f t="shared" ca="1" si="6"/>
        <v>2028/01/07</v>
      </c>
      <c r="T41" s="228" t="str">
        <f t="shared" ca="1" si="12"/>
        <v>2028</v>
      </c>
      <c r="U41" s="229" t="str">
        <f t="shared" ca="1" si="13"/>
        <v>01</v>
      </c>
      <c r="V41" s="229" t="str">
        <f t="shared" ca="1" si="14"/>
        <v>07</v>
      </c>
      <c r="Y41" s="316">
        <f ca="1">+'Simulador CUOTA (2)'!H41</f>
        <v>7504.029751876802</v>
      </c>
      <c r="Z41" s="317">
        <f ca="1">+'Simulador CUOTA (2)'!N41</f>
        <v>204.78999999999996</v>
      </c>
      <c r="AA41" s="317">
        <f ca="1">+'Simulador CUOTA (2)'!O41</f>
        <v>106.58000000000004</v>
      </c>
      <c r="AB41" s="317">
        <f ca="1">+'Simulador CUOTA (2)'!P41</f>
        <v>311.37</v>
      </c>
      <c r="AC41" s="318">
        <f t="shared" ca="1" si="17"/>
        <v>22.560000000000002</v>
      </c>
    </row>
    <row r="42" spans="2:29">
      <c r="B42" s="307">
        <v>19</v>
      </c>
      <c r="C42" s="308">
        <f t="shared" ca="1" si="7"/>
        <v>46790</v>
      </c>
      <c r="D42" s="356">
        <f ca="1">IF($C$16&gt;=B42,(VLOOKUP(C42,Hoja1!V:Z,5,0)),"-")</f>
        <v>46813</v>
      </c>
      <c r="E42" s="363">
        <f t="shared" ca="1" si="16"/>
        <v>29</v>
      </c>
      <c r="F42" s="309">
        <f t="shared" ca="1" si="8"/>
        <v>579</v>
      </c>
      <c r="G42" s="310">
        <f t="shared" ca="1" si="0"/>
        <v>0.72628087100000005</v>
      </c>
      <c r="H42" s="311">
        <f t="shared" ca="1" si="9"/>
        <v>7805.3797518768006</v>
      </c>
      <c r="I42" s="311">
        <f t="shared" ca="1" si="1"/>
        <v>207.89</v>
      </c>
      <c r="J42" s="311">
        <f t="shared" ca="1" si="2"/>
        <v>126.04</v>
      </c>
      <c r="K42" s="311">
        <f t="shared" ca="1" si="10"/>
        <v>333.93</v>
      </c>
      <c r="L42" s="312">
        <f t="shared" ca="1" si="3"/>
        <v>7597.4897518768003</v>
      </c>
      <c r="M42" s="319">
        <f ca="1">IF($C$16&gt;=B42,(IF(((P42-(J42+(I41*-1)+1))&lt;=0),1,((SUM(I$24:$I42)-(SUM($N$23:$N$25)))))),"-")</f>
        <v>3009.0400000000009</v>
      </c>
      <c r="N42" s="313">
        <f ca="1">IF($C$16&gt;=B42,(IF((M42&lt;=0),1,((SUM($I$24:I42)-(SUM($N$23:N41)))))),"-")</f>
        <v>207.88999999999987</v>
      </c>
      <c r="O42" s="311">
        <f t="shared" ca="1" si="4"/>
        <v>126.04000000000013</v>
      </c>
      <c r="P42" s="312">
        <f t="shared" ca="1" si="5"/>
        <v>333.93</v>
      </c>
      <c r="Q42" s="314">
        <f t="shared" ca="1" si="11"/>
        <v>333.93</v>
      </c>
      <c r="S42" s="315" t="str">
        <f t="shared" ca="1" si="6"/>
        <v>2028/02/07</v>
      </c>
      <c r="T42" s="228" t="str">
        <f t="shared" ca="1" si="12"/>
        <v>2028</v>
      </c>
      <c r="U42" s="229" t="str">
        <f t="shared" ca="1" si="13"/>
        <v>02</v>
      </c>
      <c r="V42" s="229" t="str">
        <f t="shared" ca="1" si="14"/>
        <v>07</v>
      </c>
      <c r="Y42" s="316">
        <f ca="1">+'Simulador CUOTA (2)'!H42</f>
        <v>7299.2397518768021</v>
      </c>
      <c r="Z42" s="317">
        <f ca="1">+'Simulador CUOTA (2)'!N42</f>
        <v>204.2199999999998</v>
      </c>
      <c r="AA42" s="317">
        <f ca="1">+'Simulador CUOTA (2)'!O42</f>
        <v>107.1500000000002</v>
      </c>
      <c r="AB42" s="317">
        <f ca="1">+'Simulador CUOTA (2)'!P42</f>
        <v>311.37</v>
      </c>
      <c r="AC42" s="318">
        <f t="shared" ca="1" si="17"/>
        <v>22.560000000000002</v>
      </c>
    </row>
    <row r="43" spans="2:29">
      <c r="B43" s="307">
        <v>20</v>
      </c>
      <c r="C43" s="308">
        <f t="shared" ca="1" si="7"/>
        <v>46819</v>
      </c>
      <c r="D43" s="356">
        <f ca="1">IF($C$16&gt;=B43,(VLOOKUP(C43,Hoja1!V:Z,5,0)),"-")</f>
        <v>46844</v>
      </c>
      <c r="E43" s="363">
        <f t="shared" ca="1" si="16"/>
        <v>31</v>
      </c>
      <c r="F43" s="309">
        <f t="shared" ca="1" si="8"/>
        <v>610</v>
      </c>
      <c r="G43" s="310">
        <f t="shared" ca="1" si="0"/>
        <v>0.71395043899999999</v>
      </c>
      <c r="H43" s="311">
        <f t="shared" ca="1" si="9"/>
        <v>7597.4897518768003</v>
      </c>
      <c r="I43" s="311">
        <f t="shared" ca="1" si="1"/>
        <v>202.72</v>
      </c>
      <c r="J43" s="311">
        <f t="shared" ca="1" si="2"/>
        <v>131.21</v>
      </c>
      <c r="K43" s="311">
        <f t="shared" ca="1" si="10"/>
        <v>333.93</v>
      </c>
      <c r="L43" s="312">
        <f t="shared" ca="1" si="3"/>
        <v>7394.7697518768</v>
      </c>
      <c r="M43" s="319">
        <f ca="1">IF($C$16&gt;=B43,(IF(((P43-(J43+(I42*-1)+1))&lt;=0),1,((SUM(I$24:$I43)-(SUM($N$23:$N$25)))))),"-")</f>
        <v>3211.7600000000007</v>
      </c>
      <c r="N43" s="313">
        <f ca="1">IF($C$16&gt;=B43,(IF((M43&lt;=0),1,((SUM($I$24:I43)-(SUM($N$23:N42)))))),"-")</f>
        <v>202.7199999999998</v>
      </c>
      <c r="O43" s="311">
        <f t="shared" ca="1" si="4"/>
        <v>131.21000000000021</v>
      </c>
      <c r="P43" s="312">
        <f t="shared" ca="1" si="5"/>
        <v>333.93</v>
      </c>
      <c r="Q43" s="314">
        <f t="shared" ca="1" si="11"/>
        <v>333.93</v>
      </c>
      <c r="S43" s="315" t="str">
        <f t="shared" ca="1" si="6"/>
        <v>2028/03/07</v>
      </c>
      <c r="T43" s="228" t="str">
        <f t="shared" ca="1" si="12"/>
        <v>2028</v>
      </c>
      <c r="U43" s="229" t="str">
        <f t="shared" ca="1" si="13"/>
        <v>03</v>
      </c>
      <c r="V43" s="229" t="str">
        <f t="shared" ca="1" si="14"/>
        <v>07</v>
      </c>
      <c r="Y43" s="316">
        <f ca="1">+'Simulador CUOTA (2)'!H43</f>
        <v>7095.0197518768018</v>
      </c>
      <c r="Z43" s="317">
        <f ca="1">+'Simulador CUOTA (2)'!N43</f>
        <v>207.2199999999998</v>
      </c>
      <c r="AA43" s="317">
        <f ca="1">+'Simulador CUOTA (2)'!O43</f>
        <v>104.1500000000002</v>
      </c>
      <c r="AB43" s="317">
        <f ca="1">+'Simulador CUOTA (2)'!P43</f>
        <v>311.37</v>
      </c>
      <c r="AC43" s="318">
        <f t="shared" ca="1" si="17"/>
        <v>22.560000000000002</v>
      </c>
    </row>
    <row r="44" spans="2:29">
      <c r="B44" s="307">
        <v>21</v>
      </c>
      <c r="C44" s="308">
        <f t="shared" ca="1" si="7"/>
        <v>46850</v>
      </c>
      <c r="D44" s="356">
        <f ca="1">IF($C$16&gt;=B44,(VLOOKUP(C44,Hoja1!V:Z,5,0)),"-")</f>
        <v>46874</v>
      </c>
      <c r="E44" s="363">
        <f t="shared" ca="1" si="16"/>
        <v>30</v>
      </c>
      <c r="F44" s="309">
        <f t="shared" ca="1" si="8"/>
        <v>640</v>
      </c>
      <c r="G44" s="310">
        <f t="shared" ca="1" si="0"/>
        <v>0.70221711799999997</v>
      </c>
      <c r="H44" s="311">
        <f t="shared" ca="1" si="9"/>
        <v>7394.7697518768</v>
      </c>
      <c r="I44" s="311">
        <f t="shared" ca="1" si="1"/>
        <v>210.37</v>
      </c>
      <c r="J44" s="311">
        <f t="shared" ca="1" si="2"/>
        <v>123.56</v>
      </c>
      <c r="K44" s="311">
        <f t="shared" ca="1" si="10"/>
        <v>333.93</v>
      </c>
      <c r="L44" s="312">
        <f t="shared" ca="1" si="3"/>
        <v>7184.3997518768001</v>
      </c>
      <c r="M44" s="319">
        <f ca="1">IF($C$16&gt;=B44,(IF(((P44-(J44+(I43*-1)+1))&lt;=0),1,((SUM(I$24:$I44)-(SUM($N$23:$N$25)))))),"-")</f>
        <v>3422.1300000000006</v>
      </c>
      <c r="N44" s="313">
        <f ca="1">IF($C$16&gt;=B44,(IF((M44&lt;=0),1,((SUM($I$24:I44)-(SUM($N$23:N43)))))),"-")</f>
        <v>210.36999999999989</v>
      </c>
      <c r="O44" s="311">
        <f t="shared" ca="1" si="4"/>
        <v>123.56000000000012</v>
      </c>
      <c r="P44" s="312">
        <f t="shared" ca="1" si="5"/>
        <v>333.93</v>
      </c>
      <c r="Q44" s="314">
        <f t="shared" ca="1" si="11"/>
        <v>333.93</v>
      </c>
      <c r="S44" s="315" t="str">
        <f t="shared" ca="1" si="6"/>
        <v>2028/04/07</v>
      </c>
      <c r="T44" s="228" t="str">
        <f t="shared" ca="1" si="12"/>
        <v>2028</v>
      </c>
      <c r="U44" s="229" t="str">
        <f t="shared" ca="1" si="13"/>
        <v>04</v>
      </c>
      <c r="V44" s="229" t="str">
        <f t="shared" ca="1" si="14"/>
        <v>07</v>
      </c>
      <c r="Y44" s="316">
        <f ca="1">+'Simulador CUOTA (2)'!H44</f>
        <v>6887.7997518768016</v>
      </c>
      <c r="Z44" s="317">
        <f ca="1">+'Simulador CUOTA (2)'!N44</f>
        <v>216.82999999999993</v>
      </c>
      <c r="AA44" s="317">
        <f ca="1">+'Simulador CUOTA (2)'!O44</f>
        <v>94.540000000000077</v>
      </c>
      <c r="AB44" s="317">
        <f ca="1">+'Simulador CUOTA (2)'!P44</f>
        <v>311.37</v>
      </c>
      <c r="AC44" s="318">
        <f t="shared" ca="1" si="17"/>
        <v>22.560000000000002</v>
      </c>
    </row>
    <row r="45" spans="2:29">
      <c r="B45" s="307">
        <v>22</v>
      </c>
      <c r="C45" s="308">
        <f t="shared" ca="1" si="7"/>
        <v>46880</v>
      </c>
      <c r="D45" s="356">
        <f ca="1">IF($C$16&gt;=B45,(VLOOKUP(C45,Hoja1!V:Z,5,0)),"-")</f>
        <v>46905</v>
      </c>
      <c r="E45" s="363">
        <f t="shared" ca="1" si="16"/>
        <v>31</v>
      </c>
      <c r="F45" s="309">
        <f t="shared" ca="1" si="8"/>
        <v>671</v>
      </c>
      <c r="G45" s="310">
        <f t="shared" ca="1" si="0"/>
        <v>0.69029522799999998</v>
      </c>
      <c r="H45" s="311">
        <f t="shared" ca="1" si="9"/>
        <v>7184.3997518768001</v>
      </c>
      <c r="I45" s="311">
        <f t="shared" ca="1" si="1"/>
        <v>209.85000000000002</v>
      </c>
      <c r="J45" s="311">
        <f t="shared" ca="1" si="2"/>
        <v>124.08</v>
      </c>
      <c r="K45" s="311">
        <f t="shared" ca="1" si="10"/>
        <v>333.93</v>
      </c>
      <c r="L45" s="312">
        <f t="shared" ca="1" si="3"/>
        <v>6974.5497518767997</v>
      </c>
      <c r="M45" s="319">
        <f ca="1">IF($C$16&gt;=B45,(IF(((P45-(J45+(I44*-1)+1))&lt;=0),1,((SUM(I$24:$I45)-(SUM($N$23:$N$25)))))),"-")</f>
        <v>3631.9800000000005</v>
      </c>
      <c r="N45" s="313">
        <f ca="1">IF($C$16&gt;=B45,(IF((M45&lt;=0),1,((SUM($I$24:I45)-(SUM($N$23:N44)))))),"-")</f>
        <v>209.84999999999991</v>
      </c>
      <c r="O45" s="311">
        <f t="shared" ca="1" si="4"/>
        <v>124.0800000000001</v>
      </c>
      <c r="P45" s="312">
        <f t="shared" ca="1" si="5"/>
        <v>333.93</v>
      </c>
      <c r="Q45" s="314">
        <f t="shared" ca="1" si="11"/>
        <v>333.93</v>
      </c>
      <c r="S45" s="315" t="str">
        <f t="shared" ca="1" si="6"/>
        <v>2028/05/07</v>
      </c>
      <c r="T45" s="228" t="str">
        <f t="shared" ca="1" si="12"/>
        <v>2028</v>
      </c>
      <c r="U45" s="229" t="str">
        <f t="shared" ca="1" si="13"/>
        <v>05</v>
      </c>
      <c r="V45" s="229" t="str">
        <f t="shared" ca="1" si="14"/>
        <v>07</v>
      </c>
      <c r="Y45" s="316">
        <f ca="1">+'Simulador CUOTA (2)'!H45</f>
        <v>6670.9697518768016</v>
      </c>
      <c r="Z45" s="317">
        <f ca="1">+'Simulador CUOTA (2)'!N45</f>
        <v>213.4399999999996</v>
      </c>
      <c r="AA45" s="317">
        <f ca="1">+'Simulador CUOTA (2)'!O45</f>
        <v>97.930000000000405</v>
      </c>
      <c r="AB45" s="317">
        <f ca="1">+'Simulador CUOTA (2)'!P45</f>
        <v>311.37</v>
      </c>
      <c r="AC45" s="318">
        <f t="shared" ca="1" si="17"/>
        <v>22.560000000000002</v>
      </c>
    </row>
    <row r="46" spans="2:29">
      <c r="B46" s="307">
        <v>23</v>
      </c>
      <c r="C46" s="308">
        <f t="shared" ca="1" si="7"/>
        <v>46911</v>
      </c>
      <c r="D46" s="356">
        <f ca="1">IF($C$16&gt;=B46,(VLOOKUP(C46,Hoja1!V:Z,5,0)),"-")</f>
        <v>46935</v>
      </c>
      <c r="E46" s="363">
        <f t="shared" ca="1" si="16"/>
        <v>30</v>
      </c>
      <c r="F46" s="309">
        <f t="shared" ca="1" si="8"/>
        <v>701</v>
      </c>
      <c r="G46" s="310">
        <f t="shared" ca="1" si="0"/>
        <v>0.67895066599999998</v>
      </c>
      <c r="H46" s="311">
        <f t="shared" ca="1" si="9"/>
        <v>6974.5497518767997</v>
      </c>
      <c r="I46" s="311">
        <f t="shared" ca="1" si="1"/>
        <v>217.39</v>
      </c>
      <c r="J46" s="311">
        <f t="shared" ca="1" si="2"/>
        <v>116.54</v>
      </c>
      <c r="K46" s="311">
        <f t="shared" ca="1" si="10"/>
        <v>333.93</v>
      </c>
      <c r="L46" s="312">
        <f t="shared" ca="1" si="3"/>
        <v>6757.1597518767994</v>
      </c>
      <c r="M46" s="319">
        <f ca="1">IF($C$16&gt;=B46,(IF(((P46-(J46+(I45*-1)+1))&lt;=0),1,((SUM(I$24:$I46)-(SUM($N$23:$N$25)))))),"-")</f>
        <v>3849.3700000000003</v>
      </c>
      <c r="N46" s="313">
        <f ca="1">IF($C$16&gt;=B46,(IF((M46&lt;=0),1,((SUM($I$24:I46)-(SUM($N$23:N45)))))),"-")</f>
        <v>217.38999999999987</v>
      </c>
      <c r="O46" s="311">
        <f t="shared" ca="1" si="4"/>
        <v>116.54000000000013</v>
      </c>
      <c r="P46" s="312">
        <f t="shared" ca="1" si="5"/>
        <v>333.93</v>
      </c>
      <c r="Q46" s="314">
        <f t="shared" ca="1" si="11"/>
        <v>333.93</v>
      </c>
      <c r="S46" s="315" t="str">
        <f t="shared" ca="1" si="6"/>
        <v>2028/06/07</v>
      </c>
      <c r="T46" s="228" t="str">
        <f t="shared" ca="1" si="12"/>
        <v>2028</v>
      </c>
      <c r="U46" s="229" t="str">
        <f t="shared" ca="1" si="13"/>
        <v>06</v>
      </c>
      <c r="V46" s="229" t="str">
        <f t="shared" ca="1" si="14"/>
        <v>07</v>
      </c>
      <c r="Y46" s="316">
        <f ca="1">+'Simulador CUOTA (2)'!H46</f>
        <v>6457.529751876802</v>
      </c>
      <c r="Z46" s="317">
        <f ca="1">+'Simulador CUOTA (2)'!N46</f>
        <v>219.64999999999964</v>
      </c>
      <c r="AA46" s="317">
        <f ca="1">+'Simulador CUOTA (2)'!O46</f>
        <v>91.720000000000368</v>
      </c>
      <c r="AB46" s="317">
        <f ca="1">+'Simulador CUOTA (2)'!P46</f>
        <v>311.37</v>
      </c>
      <c r="AC46" s="318">
        <f t="shared" ca="1" si="17"/>
        <v>22.560000000000002</v>
      </c>
    </row>
    <row r="47" spans="2:29">
      <c r="B47" s="307">
        <v>24</v>
      </c>
      <c r="C47" s="308">
        <f t="shared" ca="1" si="7"/>
        <v>46941</v>
      </c>
      <c r="D47" s="356">
        <f ca="1">IF($C$16&gt;=B47,(VLOOKUP(C47,Hoja1!V:Z,5,0)),"-")</f>
        <v>46966</v>
      </c>
      <c r="E47" s="363">
        <f t="shared" ca="1" si="16"/>
        <v>31</v>
      </c>
      <c r="F47" s="309">
        <f t="shared" ca="1" si="8"/>
        <v>732</v>
      </c>
      <c r="G47" s="310">
        <f t="shared" ca="1" si="0"/>
        <v>0.66742378199999997</v>
      </c>
      <c r="H47" s="311">
        <f t="shared" ca="1" si="9"/>
        <v>6757.1597518767994</v>
      </c>
      <c r="I47" s="311">
        <f t="shared" ca="1" si="1"/>
        <v>217.23000000000002</v>
      </c>
      <c r="J47" s="311">
        <f t="shared" ca="1" si="2"/>
        <v>116.7</v>
      </c>
      <c r="K47" s="311">
        <f t="shared" ca="1" si="10"/>
        <v>333.93</v>
      </c>
      <c r="L47" s="312">
        <f t="shared" ca="1" si="3"/>
        <v>6539.9297518767999</v>
      </c>
      <c r="M47" s="319">
        <f ca="1">IF($C$16&gt;=B47,(IF(((P47-(J47+(I46*-1)+1))&lt;=0),1,((SUM(I$24:$I47)-(SUM($N$23:$N$25)))))),"-")</f>
        <v>4066.6000000000008</v>
      </c>
      <c r="N47" s="313">
        <f ca="1">IF($C$16&gt;=B47,(IF((M47&lt;=0),1,((SUM($I$24:I47)-(SUM($N$23:N46)))))),"-")</f>
        <v>217.23000000000047</v>
      </c>
      <c r="O47" s="311">
        <f t="shared" ca="1" si="4"/>
        <v>116.69999999999953</v>
      </c>
      <c r="P47" s="312">
        <f t="shared" ca="1" si="5"/>
        <v>333.93</v>
      </c>
      <c r="Q47" s="314">
        <f t="shared" ca="1" si="11"/>
        <v>333.93</v>
      </c>
      <c r="S47" s="315" t="str">
        <f t="shared" ca="1" si="6"/>
        <v>2028/07/07</v>
      </c>
      <c r="T47" s="228" t="str">
        <f t="shared" ca="1" si="12"/>
        <v>2028</v>
      </c>
      <c r="U47" s="229" t="str">
        <f t="shared" ca="1" si="13"/>
        <v>07</v>
      </c>
      <c r="V47" s="229" t="str">
        <f t="shared" ca="1" si="14"/>
        <v>07</v>
      </c>
      <c r="Y47" s="316">
        <f ca="1">+'Simulador CUOTA (2)'!H47</f>
        <v>6237.8797518768024</v>
      </c>
      <c r="Z47" s="317">
        <f ca="1">+'Simulador CUOTA (2)'!N47</f>
        <v>219.80000000000018</v>
      </c>
      <c r="AA47" s="317">
        <f ca="1">+'Simulador CUOTA (2)'!O47</f>
        <v>91.569999999999823</v>
      </c>
      <c r="AB47" s="317">
        <f ca="1">+'Simulador CUOTA (2)'!P47</f>
        <v>311.37</v>
      </c>
      <c r="AC47" s="318">
        <f t="shared" ca="1" si="17"/>
        <v>22.560000000000002</v>
      </c>
    </row>
    <row r="48" spans="2:29">
      <c r="B48" s="307">
        <v>25</v>
      </c>
      <c r="C48" s="308">
        <f t="shared" ca="1" si="7"/>
        <v>46972</v>
      </c>
      <c r="D48" s="356">
        <f ca="1">IF($C$16&gt;=B48,(VLOOKUP(C48,Hoja1!V:Z,5,0)),"-")</f>
        <v>46997</v>
      </c>
      <c r="E48" s="363">
        <f t="shared" ca="1" si="16"/>
        <v>31</v>
      </c>
      <c r="F48" s="309">
        <f t="shared" ca="1" si="8"/>
        <v>763</v>
      </c>
      <c r="G48" s="310">
        <f t="shared" ca="1" si="0"/>
        <v>0.65609259600000003</v>
      </c>
      <c r="H48" s="311">
        <f t="shared" ca="1" si="9"/>
        <v>6539.9297518767999</v>
      </c>
      <c r="I48" s="311">
        <f t="shared" ca="1" si="1"/>
        <v>220.98000000000002</v>
      </c>
      <c r="J48" s="311">
        <f t="shared" ca="1" si="2"/>
        <v>112.95</v>
      </c>
      <c r="K48" s="311">
        <f t="shared" ca="1" si="10"/>
        <v>333.93</v>
      </c>
      <c r="L48" s="312">
        <f t="shared" ca="1" si="3"/>
        <v>6318.9497518768003</v>
      </c>
      <c r="M48" s="319">
        <f ca="1">IF($C$16&gt;=B48,(IF(((P48-(J48+(I47*-1)+1))&lt;=0),1,((SUM(I$24:$I48)-(SUM($N$23:$N$25)))))),"-")</f>
        <v>4287.58</v>
      </c>
      <c r="N48" s="313">
        <f ca="1">IF($C$16&gt;=B48,(IF((M48&lt;=0),1,((SUM($I$24:I48)-(SUM($N$23:N47)))))),"-")</f>
        <v>220.97999999999956</v>
      </c>
      <c r="O48" s="311">
        <f t="shared" ca="1" si="4"/>
        <v>112.95000000000044</v>
      </c>
      <c r="P48" s="312">
        <f t="shared" ca="1" si="5"/>
        <v>333.93</v>
      </c>
      <c r="Q48" s="314">
        <f t="shared" ca="1" si="11"/>
        <v>333.93</v>
      </c>
      <c r="S48" s="315" t="str">
        <f t="shared" ca="1" si="6"/>
        <v>2028/08/07</v>
      </c>
      <c r="T48" s="228" t="str">
        <f t="shared" ca="1" si="12"/>
        <v>2028</v>
      </c>
      <c r="U48" s="229" t="str">
        <f t="shared" ca="1" si="13"/>
        <v>08</v>
      </c>
      <c r="V48" s="229" t="str">
        <f t="shared" ca="1" si="14"/>
        <v>07</v>
      </c>
      <c r="Y48" s="316">
        <f ca="1">+'Simulador CUOTA (2)'!H48</f>
        <v>6018.0797518768022</v>
      </c>
      <c r="Z48" s="317">
        <f ca="1">+'Simulador CUOTA (2)'!N48</f>
        <v>225.89999999999964</v>
      </c>
      <c r="AA48" s="317">
        <f ca="1">+'Simulador CUOTA (2)'!O48</f>
        <v>85.470000000000368</v>
      </c>
      <c r="AB48" s="317">
        <f ca="1">+'Simulador CUOTA (2)'!P48</f>
        <v>311.37</v>
      </c>
      <c r="AC48" s="318">
        <f t="shared" ca="1" si="17"/>
        <v>22.560000000000002</v>
      </c>
    </row>
    <row r="49" spans="2:29">
      <c r="B49" s="307">
        <v>26</v>
      </c>
      <c r="C49" s="308">
        <f t="shared" ca="1" si="7"/>
        <v>47003</v>
      </c>
      <c r="D49" s="356">
        <f ca="1">IF($C$16&gt;=B49,(VLOOKUP(C49,Hoja1!V:Z,5,0)),"-")</f>
        <v>47027</v>
      </c>
      <c r="E49" s="363">
        <f t="shared" ca="1" si="16"/>
        <v>30</v>
      </c>
      <c r="F49" s="309">
        <f t="shared" ca="1" si="8"/>
        <v>793</v>
      </c>
      <c r="G49" s="310">
        <f t="shared" ca="1" si="0"/>
        <v>0.64531013199999998</v>
      </c>
      <c r="H49" s="311">
        <f t="shared" ca="1" si="9"/>
        <v>6318.9497518768003</v>
      </c>
      <c r="I49" s="311">
        <f t="shared" ca="1" si="1"/>
        <v>228.35000000000002</v>
      </c>
      <c r="J49" s="311">
        <f t="shared" ca="1" si="2"/>
        <v>105.58</v>
      </c>
      <c r="K49" s="311">
        <f t="shared" ca="1" si="10"/>
        <v>333.93</v>
      </c>
      <c r="L49" s="312">
        <f t="shared" ca="1" si="3"/>
        <v>6090.5997518767999</v>
      </c>
      <c r="M49" s="319">
        <f ca="1">IF($C$16&gt;=B49,(IF(((P49-(J49+(I48*-1)+1))&lt;=0),1,((SUM(I$24:$I49)-(SUM($N$23:$N$25)))))),"-")</f>
        <v>4515.93</v>
      </c>
      <c r="N49" s="313">
        <f ca="1">IF($C$16&gt;=B49,(IF((M49&lt;=0),1,((SUM($I$24:I49)-(SUM($N$23:N48)))))),"-")</f>
        <v>228.35000000000036</v>
      </c>
      <c r="O49" s="311">
        <f t="shared" ca="1" si="4"/>
        <v>105.57999999999964</v>
      </c>
      <c r="P49" s="312">
        <f t="shared" ca="1" si="5"/>
        <v>333.93</v>
      </c>
      <c r="Q49" s="314">
        <f t="shared" ca="1" si="11"/>
        <v>333.93</v>
      </c>
      <c r="S49" s="315" t="str">
        <f t="shared" ca="1" si="6"/>
        <v>2028/09/07</v>
      </c>
      <c r="T49" s="228" t="str">
        <f t="shared" ca="1" si="12"/>
        <v>2028</v>
      </c>
      <c r="U49" s="229" t="str">
        <f t="shared" ca="1" si="13"/>
        <v>09</v>
      </c>
      <c r="V49" s="229" t="str">
        <f t="shared" ca="1" si="14"/>
        <v>07</v>
      </c>
      <c r="Y49" s="316">
        <f ca="1">+'Simulador CUOTA (2)'!H49</f>
        <v>5792.1797518768026</v>
      </c>
      <c r="Z49" s="317">
        <f ca="1">+'Simulador CUOTA (2)'!N49</f>
        <v>226.34000000000015</v>
      </c>
      <c r="AA49" s="317">
        <f ca="1">+'Simulador CUOTA (2)'!O49</f>
        <v>85.029999999999859</v>
      </c>
      <c r="AB49" s="317">
        <f ca="1">+'Simulador CUOTA (2)'!P49</f>
        <v>311.37</v>
      </c>
      <c r="AC49" s="318">
        <f t="shared" ca="1" si="17"/>
        <v>22.560000000000002</v>
      </c>
    </row>
    <row r="50" spans="2:29">
      <c r="B50" s="307">
        <v>27</v>
      </c>
      <c r="C50" s="308">
        <f t="shared" ca="1" si="7"/>
        <v>47033</v>
      </c>
      <c r="D50" s="356">
        <f ca="1">IF($C$16&gt;=B50,(VLOOKUP(C50,Hoja1!V:Z,5,0)),"-")</f>
        <v>47058</v>
      </c>
      <c r="E50" s="363">
        <f t="shared" ca="1" si="16"/>
        <v>31</v>
      </c>
      <c r="F50" s="309">
        <f t="shared" ca="1" si="8"/>
        <v>824</v>
      </c>
      <c r="G50" s="310">
        <f t="shared" ca="1" si="0"/>
        <v>0.63435438</v>
      </c>
      <c r="H50" s="311">
        <f t="shared" ca="1" si="9"/>
        <v>6090.5997518767999</v>
      </c>
      <c r="I50" s="311">
        <f t="shared" ca="1" si="1"/>
        <v>228.74</v>
      </c>
      <c r="J50" s="311">
        <f t="shared" ca="1" si="2"/>
        <v>105.19</v>
      </c>
      <c r="K50" s="311">
        <f t="shared" ca="1" si="10"/>
        <v>333.93</v>
      </c>
      <c r="L50" s="312">
        <f t="shared" ca="1" si="3"/>
        <v>5861.8597518768001</v>
      </c>
      <c r="M50" s="319">
        <f ca="1">IF($C$16&gt;=B50,(IF(((P50-(J50+(I49*-1)+1))&lt;=0),1,((SUM(I$24:$I50)-(SUM($N$23:$N$25)))))),"-")</f>
        <v>4744.67</v>
      </c>
      <c r="N50" s="313">
        <f ca="1">IF($C$16&gt;=B50,(IF((M50&lt;=0),1,((SUM($I$24:I50)-(SUM($N$23:N49)))))),"-")</f>
        <v>228.73999999999978</v>
      </c>
      <c r="O50" s="311">
        <f t="shared" ca="1" si="4"/>
        <v>105.19000000000023</v>
      </c>
      <c r="P50" s="312">
        <f t="shared" ca="1" si="5"/>
        <v>333.93</v>
      </c>
      <c r="Q50" s="314">
        <f t="shared" ca="1" si="11"/>
        <v>333.93</v>
      </c>
      <c r="S50" s="315" t="str">
        <f t="shared" ca="1" si="6"/>
        <v>2028/10/07</v>
      </c>
      <c r="T50" s="228" t="str">
        <f t="shared" ca="1" si="12"/>
        <v>2028</v>
      </c>
      <c r="U50" s="229" t="str">
        <f t="shared" ca="1" si="13"/>
        <v>10</v>
      </c>
      <c r="V50" s="229" t="str">
        <f t="shared" ca="1" si="14"/>
        <v>07</v>
      </c>
      <c r="Y50" s="316">
        <f ca="1">+'Simulador CUOTA (2)'!H50</f>
        <v>5565.8397518768024</v>
      </c>
      <c r="Z50" s="317">
        <f ca="1">+'Simulador CUOTA (2)'!N50</f>
        <v>229.65999999999985</v>
      </c>
      <c r="AA50" s="317">
        <f ca="1">+'Simulador CUOTA (2)'!O50</f>
        <v>81.71000000000015</v>
      </c>
      <c r="AB50" s="317">
        <f ca="1">+'Simulador CUOTA (2)'!P50</f>
        <v>311.37</v>
      </c>
      <c r="AC50" s="318">
        <f t="shared" ca="1" si="17"/>
        <v>22.560000000000002</v>
      </c>
    </row>
    <row r="51" spans="2:29">
      <c r="B51" s="307">
        <v>28</v>
      </c>
      <c r="C51" s="308">
        <f t="shared" ca="1" si="7"/>
        <v>47064</v>
      </c>
      <c r="D51" s="356">
        <f ca="1">IF($C$16&gt;=B51,(VLOOKUP(C51,Hoja1!V:Z,5,0)),"-")</f>
        <v>47088</v>
      </c>
      <c r="E51" s="363">
        <f t="shared" ca="1" si="16"/>
        <v>30</v>
      </c>
      <c r="F51" s="309">
        <f t="shared" ca="1" si="8"/>
        <v>854</v>
      </c>
      <c r="G51" s="310">
        <f t="shared" ca="1" si="0"/>
        <v>0.62392917000000003</v>
      </c>
      <c r="H51" s="311">
        <f t="shared" ca="1" si="9"/>
        <v>5861.8597518768001</v>
      </c>
      <c r="I51" s="311">
        <f t="shared" ca="1" si="1"/>
        <v>235.98000000000002</v>
      </c>
      <c r="J51" s="311">
        <f t="shared" ca="1" si="2"/>
        <v>97.95</v>
      </c>
      <c r="K51" s="311">
        <f t="shared" ca="1" si="10"/>
        <v>333.93</v>
      </c>
      <c r="L51" s="312">
        <f t="shared" ca="1" si="3"/>
        <v>5625.8797518768006</v>
      </c>
      <c r="M51" s="319">
        <f ca="1">IF($C$16&gt;=B51,(IF(((P51-(J51+(I50*-1)+1))&lt;=0),1,((SUM(I$24:$I51)-(SUM($N$23:$N$25)))))),"-")</f>
        <v>4980.6499999999996</v>
      </c>
      <c r="N51" s="313">
        <f ca="1">IF($C$16&gt;=B51,(IF((M51&lt;=0),1,((SUM($I$24:I51)-(SUM($N$23:N50)))))),"-")</f>
        <v>235.97999999999956</v>
      </c>
      <c r="O51" s="311">
        <f t="shared" ca="1" si="4"/>
        <v>97.950000000000443</v>
      </c>
      <c r="P51" s="312">
        <f t="shared" ca="1" si="5"/>
        <v>333.93</v>
      </c>
      <c r="Q51" s="314">
        <f t="shared" ca="1" si="11"/>
        <v>333.93</v>
      </c>
      <c r="S51" s="315" t="str">
        <f t="shared" ca="1" si="6"/>
        <v>2028/11/07</v>
      </c>
      <c r="T51" s="228" t="str">
        <f t="shared" ca="1" si="12"/>
        <v>2028</v>
      </c>
      <c r="U51" s="229" t="str">
        <f t="shared" ca="1" si="13"/>
        <v>11</v>
      </c>
      <c r="V51" s="229" t="str">
        <f t="shared" ca="1" si="14"/>
        <v>07</v>
      </c>
      <c r="Y51" s="316">
        <f ca="1">+'Simulador CUOTA (2)'!H51</f>
        <v>5336.1797518768026</v>
      </c>
      <c r="Z51" s="317">
        <f ca="1">+'Simulador CUOTA (2)'!N51</f>
        <v>235.57999999999993</v>
      </c>
      <c r="AA51" s="317">
        <f ca="1">+'Simulador CUOTA (2)'!O51</f>
        <v>75.790000000000077</v>
      </c>
      <c r="AB51" s="317">
        <f ca="1">+'Simulador CUOTA (2)'!P51</f>
        <v>311.37</v>
      </c>
      <c r="AC51" s="318">
        <f t="shared" ca="1" si="17"/>
        <v>22.560000000000002</v>
      </c>
    </row>
    <row r="52" spans="2:29">
      <c r="B52" s="307">
        <v>29</v>
      </c>
      <c r="C52" s="308">
        <f t="shared" ca="1" si="7"/>
        <v>47094</v>
      </c>
      <c r="D52" s="356">
        <f ca="1">IF($C$16&gt;=B52,(VLOOKUP(C52,Hoja1!V:Z,5,0)),"-")</f>
        <v>47119</v>
      </c>
      <c r="E52" s="363">
        <f t="shared" ca="1" si="16"/>
        <v>31</v>
      </c>
      <c r="F52" s="309">
        <f t="shared" ca="1" si="8"/>
        <v>885</v>
      </c>
      <c r="G52" s="310">
        <f t="shared" ca="1" si="0"/>
        <v>0.61333641400000005</v>
      </c>
      <c r="H52" s="311">
        <f t="shared" ca="1" si="9"/>
        <v>5625.8797518768006</v>
      </c>
      <c r="I52" s="311">
        <f t="shared" ca="1" si="1"/>
        <v>236.77</v>
      </c>
      <c r="J52" s="311">
        <f t="shared" ca="1" si="2"/>
        <v>97.16</v>
      </c>
      <c r="K52" s="311">
        <f t="shared" ca="1" si="10"/>
        <v>333.93</v>
      </c>
      <c r="L52" s="312">
        <f t="shared" ca="1" si="3"/>
        <v>5389.1097518768001</v>
      </c>
      <c r="M52" s="319">
        <f ca="1">IF($C$16&gt;=B52,(IF(((P52-(J52+(I51*-1)+1))&lt;=0),1,((SUM(I$24:$I52)-(SUM($N$23:$N$25)))))),"-")</f>
        <v>5217.42</v>
      </c>
      <c r="N52" s="313">
        <f ca="1">IF($C$16&gt;=B52,(IF((M52&lt;=0),1,((SUM($I$24:I52)-(SUM($N$23:N51)))))),"-")</f>
        <v>236.77000000000044</v>
      </c>
      <c r="O52" s="311">
        <f t="shared" ca="1" si="4"/>
        <v>97.15999999999957</v>
      </c>
      <c r="P52" s="312">
        <f t="shared" ca="1" si="5"/>
        <v>333.93</v>
      </c>
      <c r="Q52" s="314">
        <f t="shared" ca="1" si="11"/>
        <v>333.93</v>
      </c>
      <c r="S52" s="315" t="str">
        <f t="shared" ca="1" si="6"/>
        <v>2028/12/07</v>
      </c>
      <c r="T52" s="228" t="str">
        <f t="shared" ca="1" si="12"/>
        <v>2028</v>
      </c>
      <c r="U52" s="229" t="str">
        <f t="shared" ca="1" si="13"/>
        <v>12</v>
      </c>
      <c r="V52" s="229" t="str">
        <f t="shared" ca="1" si="14"/>
        <v>07</v>
      </c>
      <c r="Y52" s="316">
        <f ca="1">+'Simulador CUOTA (2)'!H52</f>
        <v>5100.5997518768027</v>
      </c>
      <c r="Z52" s="317">
        <f ca="1">+'Simulador CUOTA (2)'!N52</f>
        <v>236.48999999999978</v>
      </c>
      <c r="AA52" s="317">
        <f ca="1">+'Simulador CUOTA (2)'!O52</f>
        <v>74.880000000000223</v>
      </c>
      <c r="AB52" s="317">
        <f ca="1">+'Simulador CUOTA (2)'!P52</f>
        <v>311.37</v>
      </c>
      <c r="AC52" s="318">
        <f t="shared" ca="1" si="17"/>
        <v>22.560000000000002</v>
      </c>
    </row>
    <row r="53" spans="2:29">
      <c r="B53" s="307">
        <v>30</v>
      </c>
      <c r="C53" s="308">
        <f t="shared" ca="1" si="7"/>
        <v>47125</v>
      </c>
      <c r="D53" s="356">
        <f ca="1">IF($C$16&gt;=B53,(VLOOKUP(C53,Hoja1!V:Z,5,0)),"-")</f>
        <v>47150</v>
      </c>
      <c r="E53" s="363">
        <f t="shared" ca="1" si="16"/>
        <v>31</v>
      </c>
      <c r="F53" s="309">
        <f t="shared" ca="1" si="8"/>
        <v>916</v>
      </c>
      <c r="G53" s="310">
        <f t="shared" ca="1" si="0"/>
        <v>0.60292349599999995</v>
      </c>
      <c r="H53" s="311">
        <f t="shared" ca="1" si="9"/>
        <v>5389.1097518768001</v>
      </c>
      <c r="I53" s="311">
        <f t="shared" ca="1" si="1"/>
        <v>240.86</v>
      </c>
      <c r="J53" s="311">
        <f t="shared" ca="1" si="2"/>
        <v>93.07</v>
      </c>
      <c r="K53" s="311">
        <f t="shared" ca="1" si="10"/>
        <v>333.93</v>
      </c>
      <c r="L53" s="312">
        <f t="shared" ca="1" si="3"/>
        <v>5148.2497518768005</v>
      </c>
      <c r="M53" s="319">
        <f ca="1">IF($C$16&gt;=B53,(IF(((P53-(J53+(I52*-1)+1))&lt;=0),1,((SUM(I$24:$I53)-(SUM($N$23:$N$25)))))),"-")</f>
        <v>5458.28</v>
      </c>
      <c r="N53" s="313">
        <f ca="1">IF($C$16&gt;=B53,(IF((M53&lt;=0),1,((SUM($I$24:I53)-(SUM($N$23:N52)))))),"-")</f>
        <v>240.85999999999967</v>
      </c>
      <c r="O53" s="311">
        <f t="shared" ca="1" si="4"/>
        <v>93.070000000000334</v>
      </c>
      <c r="P53" s="312">
        <f t="shared" ca="1" si="5"/>
        <v>333.93</v>
      </c>
      <c r="Q53" s="314">
        <f t="shared" ca="1" si="11"/>
        <v>333.93</v>
      </c>
      <c r="S53" s="315" t="str">
        <f t="shared" ca="1" si="6"/>
        <v>2029/01/07</v>
      </c>
      <c r="T53" s="228" t="str">
        <f t="shared" ca="1" si="12"/>
        <v>2029</v>
      </c>
      <c r="U53" s="229" t="str">
        <f t="shared" ca="1" si="13"/>
        <v>01</v>
      </c>
      <c r="V53" s="229" t="str">
        <f t="shared" ca="1" si="14"/>
        <v>07</v>
      </c>
      <c r="Y53" s="316">
        <f ca="1">+'Simulador CUOTA (2)'!H53</f>
        <v>4864.1097518768029</v>
      </c>
      <c r="Z53" s="317">
        <f ca="1">+'Simulador CUOTA (2)'!N53</f>
        <v>242.28999999999996</v>
      </c>
      <c r="AA53" s="317">
        <f ca="1">+'Simulador CUOTA (2)'!O53</f>
        <v>69.080000000000041</v>
      </c>
      <c r="AB53" s="317">
        <f ca="1">+'Simulador CUOTA (2)'!P53</f>
        <v>311.37</v>
      </c>
      <c r="AC53" s="318">
        <f t="shared" ca="1" si="17"/>
        <v>22.560000000000002</v>
      </c>
    </row>
    <row r="54" spans="2:29">
      <c r="B54" s="307">
        <v>31</v>
      </c>
      <c r="C54" s="308">
        <f t="shared" ca="1" si="7"/>
        <v>47156</v>
      </c>
      <c r="D54" s="356">
        <f ca="1">IF($C$16&gt;=B54,(VLOOKUP(C54,Hoja1!V:Z,5,0)),"-")</f>
        <v>47178</v>
      </c>
      <c r="E54" s="363">
        <f t="shared" ca="1" si="16"/>
        <v>28</v>
      </c>
      <c r="F54" s="309">
        <f t="shared" ca="1" si="8"/>
        <v>944</v>
      </c>
      <c r="G54" s="310">
        <f t="shared" ca="1" si="0"/>
        <v>0.59367031400000003</v>
      </c>
      <c r="H54" s="311">
        <f t="shared" ca="1" si="9"/>
        <v>5148.2497518768005</v>
      </c>
      <c r="I54" s="311">
        <f t="shared" ca="1" si="1"/>
        <v>253.69</v>
      </c>
      <c r="J54" s="311">
        <f t="shared" ca="1" si="2"/>
        <v>80.239999999999995</v>
      </c>
      <c r="K54" s="311">
        <f t="shared" ca="1" si="10"/>
        <v>333.93</v>
      </c>
      <c r="L54" s="312">
        <f t="shared" ca="1" si="3"/>
        <v>4894.5597518768009</v>
      </c>
      <c r="M54" s="319">
        <f ca="1">IF($C$16&gt;=B54,(IF(((P54-(J54+(I53*-1)+1))&lt;=0),1,((SUM(I$24:$I54)-(SUM($N$23:$N$25)))))),"-")</f>
        <v>5711.9699999999993</v>
      </c>
      <c r="N54" s="313">
        <f ca="1">IF($C$16&gt;=B54,(IF((M54&lt;=0),1,((SUM($I$24:I54)-(SUM($N$23:N53)))))),"-")</f>
        <v>253.6899999999996</v>
      </c>
      <c r="O54" s="311">
        <f t="shared" ca="1" si="4"/>
        <v>80.240000000000407</v>
      </c>
      <c r="P54" s="312">
        <f t="shared" ca="1" si="5"/>
        <v>333.93</v>
      </c>
      <c r="Q54" s="314">
        <f t="shared" ca="1" si="11"/>
        <v>333.93</v>
      </c>
      <c r="S54" s="315" t="str">
        <f t="shared" ca="1" si="6"/>
        <v>2029/02/07</v>
      </c>
      <c r="T54" s="228" t="str">
        <f t="shared" ca="1" si="12"/>
        <v>2029</v>
      </c>
      <c r="U54" s="229" t="str">
        <f t="shared" ca="1" si="13"/>
        <v>02</v>
      </c>
      <c r="V54" s="229" t="str">
        <f t="shared" ca="1" si="14"/>
        <v>07</v>
      </c>
      <c r="Y54" s="316">
        <f ca="1">+'Simulador CUOTA (2)'!H54</f>
        <v>4621.8197518768029</v>
      </c>
      <c r="Z54" s="317">
        <f ca="1">+'Simulador CUOTA (2)'!N54</f>
        <v>243.52000000000044</v>
      </c>
      <c r="AA54" s="317">
        <f ca="1">+'Simulador CUOTA (2)'!O54</f>
        <v>67.849999999999568</v>
      </c>
      <c r="AB54" s="317">
        <f ca="1">+'Simulador CUOTA (2)'!P54</f>
        <v>311.37</v>
      </c>
      <c r="AC54" s="318">
        <f t="shared" ca="1" si="17"/>
        <v>22.560000000000002</v>
      </c>
    </row>
    <row r="55" spans="2:29">
      <c r="B55" s="307">
        <v>32</v>
      </c>
      <c r="C55" s="308">
        <f t="shared" ca="1" si="7"/>
        <v>47184</v>
      </c>
      <c r="D55" s="356">
        <f ca="1">IF($C$16&gt;=B55,(VLOOKUP(C55,Hoja1!V:Z,5,0)),"-")</f>
        <v>47209</v>
      </c>
      <c r="E55" s="363">
        <f t="shared" ca="1" si="16"/>
        <v>31</v>
      </c>
      <c r="F55" s="309">
        <f t="shared" ca="1" si="8"/>
        <v>975</v>
      </c>
      <c r="G55" s="310">
        <f t="shared" ca="1" si="0"/>
        <v>0.58359127700000002</v>
      </c>
      <c r="H55" s="311">
        <f t="shared" ca="1" si="9"/>
        <v>4894.5597518768009</v>
      </c>
      <c r="I55" s="311">
        <f t="shared" ca="1" si="1"/>
        <v>249.4</v>
      </c>
      <c r="J55" s="311">
        <f t="shared" ca="1" si="2"/>
        <v>84.53</v>
      </c>
      <c r="K55" s="311">
        <f t="shared" ca="1" si="10"/>
        <v>333.93</v>
      </c>
      <c r="L55" s="312">
        <f t="shared" ca="1" si="3"/>
        <v>4645.1597518768012</v>
      </c>
      <c r="M55" s="319">
        <f ca="1">IF($C$16&gt;=B55,(IF(((P55-(J55+(I54*-1)+1))&lt;=0),1,((SUM(I$24:$I55)-(SUM($N$23:$N$25)))))),"-")</f>
        <v>5961.369999999999</v>
      </c>
      <c r="N55" s="313">
        <f ca="1">IF($C$16&gt;=B55,(IF((M55&lt;=0),1,((SUM($I$24:I55)-(SUM($N$23:N54)))))),"-")</f>
        <v>249.39999999999964</v>
      </c>
      <c r="O55" s="311">
        <f t="shared" ca="1" si="4"/>
        <v>84.530000000000371</v>
      </c>
      <c r="P55" s="312">
        <f t="shared" ca="1" si="5"/>
        <v>333.93</v>
      </c>
      <c r="Q55" s="314">
        <f t="shared" ca="1" si="11"/>
        <v>333.93</v>
      </c>
      <c r="S55" s="315" t="str">
        <f t="shared" ca="1" si="6"/>
        <v>2029/03/07</v>
      </c>
      <c r="T55" s="228" t="str">
        <f t="shared" ca="1" si="12"/>
        <v>2029</v>
      </c>
      <c r="U55" s="229" t="str">
        <f t="shared" ca="1" si="13"/>
        <v>03</v>
      </c>
      <c r="V55" s="229" t="str">
        <f t="shared" ca="1" si="14"/>
        <v>07</v>
      </c>
      <c r="Y55" s="316">
        <f ca="1">+'Simulador CUOTA (2)'!H55</f>
        <v>4378.2997518768025</v>
      </c>
      <c r="Z55" s="317">
        <f ca="1">+'Simulador CUOTA (2)'!N55</f>
        <v>247.10000000000036</v>
      </c>
      <c r="AA55" s="317">
        <f ca="1">+'Simulador CUOTA (2)'!O55</f>
        <v>64.269999999999641</v>
      </c>
      <c r="AB55" s="317">
        <f ca="1">+'Simulador CUOTA (2)'!P55</f>
        <v>311.37</v>
      </c>
      <c r="AC55" s="318">
        <f t="shared" ca="1" si="17"/>
        <v>22.560000000000002</v>
      </c>
    </row>
    <row r="56" spans="2:29">
      <c r="B56" s="307">
        <v>33</v>
      </c>
      <c r="C56" s="308">
        <f t="shared" ca="1" si="7"/>
        <v>47215</v>
      </c>
      <c r="D56" s="356">
        <f ca="1">IF($C$16&gt;=B56,(VLOOKUP(C56,Hoja1!V:Z,5,0)),"-")</f>
        <v>47239</v>
      </c>
      <c r="E56" s="363">
        <f t="shared" ca="1" si="16"/>
        <v>30</v>
      </c>
      <c r="F56" s="309">
        <f t="shared" ca="1" si="8"/>
        <v>1005</v>
      </c>
      <c r="G56" s="310">
        <f t="shared" ref="G56:G73" ca="1" si="18">IF($C$16&gt;=B56,ROUND(1/((1+$C$12)^(F56/360)),9),"-")</f>
        <v>0.57400032599999995</v>
      </c>
      <c r="H56" s="311">
        <f t="shared" ca="1" si="9"/>
        <v>4645.1597518768012</v>
      </c>
      <c r="I56" s="311">
        <f t="shared" ref="I56:I73" ca="1" si="19">IF($C$16=B56,H56,IF($C$16&gt;=B56,K56-J56,"-"))</f>
        <v>256.31</v>
      </c>
      <c r="J56" s="311">
        <f t="shared" ref="J56:J73" ca="1" si="20">IF($C$16=B56,K56-I56,IF($C$16&gt;=B56,ROUND(H56*((1+$C$12)^(E56/360)-1),2),"-"))</f>
        <v>77.62</v>
      </c>
      <c r="K56" s="311">
        <f t="shared" ca="1" si="10"/>
        <v>333.93</v>
      </c>
      <c r="L56" s="312">
        <f t="shared" ref="L56:L73" ca="1" si="21">IF($C$16&gt;=B56,H56-I56,"-")</f>
        <v>4388.8497518768008</v>
      </c>
      <c r="M56" s="319">
        <f ca="1">IF($C$16&gt;=B56,(IF(((P56-(J56+(I55*-1)+1))&lt;=0),1,((SUM(I$24:$I56)-(SUM($N$23:$N$25)))))),"-")</f>
        <v>6217.6799999999994</v>
      </c>
      <c r="N56" s="313">
        <f ca="1">IF($C$16&gt;=B56,(IF((M56&lt;=0),1,((SUM($I$24:I56)-(SUM($N$23:N55)))))),"-")</f>
        <v>256.3100000000004</v>
      </c>
      <c r="O56" s="311">
        <f t="shared" ref="O56:O73" ca="1" si="22">IF($C$16&gt;=B56,(P56-N56),"-")</f>
        <v>77.619999999999607</v>
      </c>
      <c r="P56" s="312">
        <f t="shared" ref="P56:P73" ca="1" si="23">IF($C$16&gt;=B56,(VALUE(K56)),"-")</f>
        <v>333.93</v>
      </c>
      <c r="Q56" s="314">
        <f t="shared" ca="1" si="11"/>
        <v>333.93</v>
      </c>
      <c r="S56" s="315" t="str">
        <f t="shared" ref="S56:S73" ca="1" si="24">TEXT(C56,"yyyy/mm/dd")</f>
        <v>2029/04/07</v>
      </c>
      <c r="T56" s="228" t="str">
        <f t="shared" ca="1" si="12"/>
        <v>2029</v>
      </c>
      <c r="U56" s="229" t="str">
        <f t="shared" ca="1" si="13"/>
        <v>04</v>
      </c>
      <c r="V56" s="229" t="str">
        <f t="shared" ca="1" si="14"/>
        <v>07</v>
      </c>
      <c r="Y56" s="316">
        <f ca="1">+'Simulador CUOTA (2)'!H56</f>
        <v>4131.1997518768021</v>
      </c>
      <c r="Z56" s="317">
        <f ca="1">+'Simulador CUOTA (2)'!N56</f>
        <v>256.63000000000011</v>
      </c>
      <c r="AA56" s="317">
        <f ca="1">+'Simulador CUOTA (2)'!O56</f>
        <v>54.739999999999895</v>
      </c>
      <c r="AB56" s="317">
        <f ca="1">+'Simulador CUOTA (2)'!P56</f>
        <v>311.37</v>
      </c>
      <c r="AC56" s="318">
        <f t="shared" ca="1" si="17"/>
        <v>22.560000000000002</v>
      </c>
    </row>
    <row r="57" spans="2:29">
      <c r="B57" s="307">
        <v>34</v>
      </c>
      <c r="C57" s="308">
        <f t="shared" ref="C57:C73" ca="1" si="25">IF($C$16&gt;=B57,DATE(YEAR(C56),MONTH(C56)+1,DAY(C56)),"-")</f>
        <v>47245</v>
      </c>
      <c r="D57" s="356">
        <f ca="1">IF($C$16&gt;=B57,(VLOOKUP(C57,Hoja1!V:Z,5,0)),"-")</f>
        <v>47270</v>
      </c>
      <c r="E57" s="363">
        <f t="shared" ca="1" si="16"/>
        <v>31</v>
      </c>
      <c r="F57" s="309">
        <f t="shared" ref="F57:F73" ca="1" si="26">IF($C$16&gt;=B57,E57+F56,"-")</f>
        <v>1036</v>
      </c>
      <c r="G57" s="310">
        <f t="shared" ca="1" si="18"/>
        <v>0.56425523700000002</v>
      </c>
      <c r="H57" s="311">
        <f t="shared" ref="H57:H73" ca="1" si="27">IF($C$16&gt;=B57,L56,"-")</f>
        <v>4388.8497518768008</v>
      </c>
      <c r="I57" s="311">
        <f t="shared" ca="1" si="19"/>
        <v>258.13</v>
      </c>
      <c r="J57" s="311">
        <f t="shared" ca="1" si="20"/>
        <v>75.8</v>
      </c>
      <c r="K57" s="311">
        <f t="shared" ref="K57:K73" ca="1" si="28">IF($C$16&gt;=B57,ROUND($F$15/$G$75,2),"-")</f>
        <v>333.93</v>
      </c>
      <c r="L57" s="312">
        <f t="shared" ca="1" si="21"/>
        <v>4130.7197518768007</v>
      </c>
      <c r="M57" s="319">
        <f ca="1">IF($C$16&gt;=B57,(IF(((P57-(J57+(I56*-1)+1))&lt;=0),1,((SUM(I$24:$I57)-(SUM($N$23:$N$25)))))),"-")</f>
        <v>6475.8099999999995</v>
      </c>
      <c r="N57" s="313">
        <f ca="1">IF($C$16&gt;=B57,(IF((M57&lt;=0),1,((SUM($I$24:I57)-(SUM($N$23:N56)))))),"-")</f>
        <v>258.13000000000011</v>
      </c>
      <c r="O57" s="311">
        <f t="shared" ca="1" si="22"/>
        <v>75.799999999999898</v>
      </c>
      <c r="P57" s="312">
        <f t="shared" ca="1" si="23"/>
        <v>333.93</v>
      </c>
      <c r="Q57" s="314">
        <f t="shared" ca="1" si="11"/>
        <v>333.93</v>
      </c>
      <c r="S57" s="315" t="str">
        <f t="shared" ca="1" si="24"/>
        <v>2029/05/07</v>
      </c>
      <c r="T57" s="228" t="str">
        <f t="shared" ca="1" si="12"/>
        <v>2029</v>
      </c>
      <c r="U57" s="229" t="str">
        <f t="shared" ca="1" si="13"/>
        <v>05</v>
      </c>
      <c r="V57" s="229" t="str">
        <f t="shared" ca="1" si="14"/>
        <v>07</v>
      </c>
      <c r="Y57" s="316">
        <f ca="1">+'Simulador CUOTA (2)'!H57</f>
        <v>3874.569751876802</v>
      </c>
      <c r="Z57" s="317">
        <f ca="1">+'Simulador CUOTA (2)'!N57</f>
        <v>254.48999999999978</v>
      </c>
      <c r="AA57" s="317">
        <f ca="1">+'Simulador CUOTA (2)'!O57</f>
        <v>56.880000000000223</v>
      </c>
      <c r="AB57" s="317">
        <f ca="1">+'Simulador CUOTA (2)'!P57</f>
        <v>311.37</v>
      </c>
      <c r="AC57" s="318">
        <f t="shared" ca="1" si="17"/>
        <v>22.560000000000002</v>
      </c>
    </row>
    <row r="58" spans="2:29">
      <c r="B58" s="307">
        <v>35</v>
      </c>
      <c r="C58" s="308">
        <f t="shared" ca="1" si="25"/>
        <v>47276</v>
      </c>
      <c r="D58" s="356">
        <f ca="1">IF($C$16&gt;=B58,(VLOOKUP(C58,Hoja1!V:Z,5,0)),"-")</f>
        <v>47300</v>
      </c>
      <c r="E58" s="363">
        <f t="shared" ca="1" si="16"/>
        <v>30</v>
      </c>
      <c r="F58" s="309">
        <f t="shared" ca="1" si="26"/>
        <v>1066</v>
      </c>
      <c r="G58" s="310">
        <f t="shared" ca="1" si="18"/>
        <v>0.554982062</v>
      </c>
      <c r="H58" s="311">
        <f t="shared" ca="1" si="27"/>
        <v>4130.7197518768007</v>
      </c>
      <c r="I58" s="311">
        <f t="shared" ca="1" si="19"/>
        <v>264.91000000000003</v>
      </c>
      <c r="J58" s="311">
        <f t="shared" ca="1" si="20"/>
        <v>69.02</v>
      </c>
      <c r="K58" s="311">
        <f t="shared" ca="1" si="28"/>
        <v>333.93</v>
      </c>
      <c r="L58" s="312">
        <f t="shared" ca="1" si="21"/>
        <v>3865.8097518768009</v>
      </c>
      <c r="M58" s="319">
        <f ca="1">IF($C$16&gt;=B58,(IF(((P58-(J58+(I57*-1)+1))&lt;=0),1,((SUM(I$24:$I58)-(SUM($N$23:$N$25)))))),"-")</f>
        <v>6740.7199999999993</v>
      </c>
      <c r="N58" s="313">
        <f ca="1">IF($C$16&gt;=B58,(IF((M58&lt;=0),1,((SUM($I$24:I58)-(SUM($N$23:N57)))))),"-")</f>
        <v>264.90999999999985</v>
      </c>
      <c r="O58" s="311">
        <f t="shared" ca="1" si="22"/>
        <v>69.020000000000152</v>
      </c>
      <c r="P58" s="312">
        <f t="shared" ca="1" si="23"/>
        <v>333.93</v>
      </c>
      <c r="Q58" s="314">
        <f t="shared" ca="1" si="11"/>
        <v>333.93</v>
      </c>
      <c r="S58" s="315" t="str">
        <f t="shared" ca="1" si="24"/>
        <v>2029/06/07</v>
      </c>
      <c r="T58" s="228" t="str">
        <f t="shared" ca="1" si="12"/>
        <v>2029</v>
      </c>
      <c r="U58" s="229" t="str">
        <f t="shared" ca="1" si="13"/>
        <v>06</v>
      </c>
      <c r="V58" s="229" t="str">
        <f t="shared" ca="1" si="14"/>
        <v>07</v>
      </c>
      <c r="Y58" s="316">
        <f ca="1">+'Simulador CUOTA (2)'!H58</f>
        <v>3620.0797518768022</v>
      </c>
      <c r="Z58" s="317">
        <f ca="1">+'Simulador CUOTA (2)'!N58</f>
        <v>259.94999999999982</v>
      </c>
      <c r="AA58" s="317">
        <f ca="1">+'Simulador CUOTA (2)'!O58</f>
        <v>51.420000000000186</v>
      </c>
      <c r="AB58" s="317">
        <f ca="1">+'Simulador CUOTA (2)'!P58</f>
        <v>311.37</v>
      </c>
      <c r="AC58" s="318">
        <f t="shared" ca="1" si="17"/>
        <v>22.560000000000002</v>
      </c>
    </row>
    <row r="59" spans="2:29">
      <c r="B59" s="320">
        <v>36</v>
      </c>
      <c r="C59" s="321">
        <f t="shared" ca="1" si="25"/>
        <v>47306</v>
      </c>
      <c r="D59" s="356">
        <f ca="1">IF($C$16&gt;=B59,(VLOOKUP(C59,Hoja1!V:Z,5,0)),"-")</f>
        <v>47331</v>
      </c>
      <c r="E59" s="363">
        <f t="shared" ca="1" si="16"/>
        <v>31</v>
      </c>
      <c r="F59" s="309">
        <f t="shared" ca="1" si="26"/>
        <v>1097</v>
      </c>
      <c r="G59" s="310">
        <f t="shared" ca="1" si="18"/>
        <v>0.54555985399999996</v>
      </c>
      <c r="H59" s="322">
        <f t="shared" ca="1" si="27"/>
        <v>3865.8097518768009</v>
      </c>
      <c r="I59" s="322">
        <f t="shared" ca="1" si="19"/>
        <v>267.16000000000003</v>
      </c>
      <c r="J59" s="311">
        <f t="shared" ca="1" si="20"/>
        <v>66.77</v>
      </c>
      <c r="K59" s="322">
        <f t="shared" ca="1" si="28"/>
        <v>333.93</v>
      </c>
      <c r="L59" s="323">
        <f t="shared" ca="1" si="21"/>
        <v>3598.649751876801</v>
      </c>
      <c r="M59" s="319">
        <f ca="1">IF($C$16&gt;=B59,(IF(((P59-(J59+(I58*-1)+1))&lt;=0),1,((SUM(I$24:$I59)-(SUM($N$23:$N$25)))))),"-")</f>
        <v>7007.8799999999992</v>
      </c>
      <c r="N59" s="313">
        <f ca="1">IF($C$16&gt;=B59,(IF((M59&lt;=0),1,((SUM($I$24:I59)-(SUM($N$23:N58)))))),"-")</f>
        <v>267.15999999999985</v>
      </c>
      <c r="O59" s="311">
        <f t="shared" ca="1" si="22"/>
        <v>66.770000000000152</v>
      </c>
      <c r="P59" s="312">
        <f t="shared" ca="1" si="23"/>
        <v>333.93</v>
      </c>
      <c r="Q59" s="314">
        <f t="shared" ca="1" si="11"/>
        <v>333.93</v>
      </c>
      <c r="S59" s="315" t="str">
        <f t="shared" ca="1" si="24"/>
        <v>2029/07/07</v>
      </c>
      <c r="T59" s="228" t="str">
        <f t="shared" ca="1" si="12"/>
        <v>2029</v>
      </c>
      <c r="U59" s="229" t="str">
        <f t="shared" ca="1" si="13"/>
        <v>07</v>
      </c>
      <c r="V59" s="229" t="str">
        <f t="shared" ca="1" si="14"/>
        <v>07</v>
      </c>
      <c r="Y59" s="316">
        <f ca="1">+'Simulador CUOTA (2)'!H59</f>
        <v>3360.1297518768024</v>
      </c>
      <c r="Z59" s="317">
        <f ca="1">+'Simulador CUOTA (2)'!N59</f>
        <v>262.03999999999996</v>
      </c>
      <c r="AA59" s="317">
        <f ca="1">+'Simulador CUOTA (2)'!O59</f>
        <v>49.330000000000041</v>
      </c>
      <c r="AB59" s="317">
        <f ca="1">+'Simulador CUOTA (2)'!P59</f>
        <v>311.37</v>
      </c>
      <c r="AC59" s="318">
        <f t="shared" ca="1" si="17"/>
        <v>22.560000000000002</v>
      </c>
    </row>
    <row r="60" spans="2:29">
      <c r="B60" s="320">
        <v>37</v>
      </c>
      <c r="C60" s="321">
        <f t="shared" ca="1" si="25"/>
        <v>47337</v>
      </c>
      <c r="D60" s="356">
        <f ca="1">IF($C$16&gt;=B60,(VLOOKUP(C60,Hoja1!V:Z,5,0)),"-")</f>
        <v>47362</v>
      </c>
      <c r="E60" s="363">
        <f t="shared" ca="1" si="16"/>
        <v>31</v>
      </c>
      <c r="F60" s="309">
        <f t="shared" ca="1" si="26"/>
        <v>1128</v>
      </c>
      <c r="G60" s="310">
        <f t="shared" ca="1" si="18"/>
        <v>0.53629761300000001</v>
      </c>
      <c r="H60" s="322">
        <f t="shared" ca="1" si="27"/>
        <v>3598.649751876801</v>
      </c>
      <c r="I60" s="322">
        <f t="shared" ca="1" si="19"/>
        <v>271.78000000000003</v>
      </c>
      <c r="J60" s="311">
        <f t="shared" ca="1" si="20"/>
        <v>62.15</v>
      </c>
      <c r="K60" s="322">
        <f t="shared" ca="1" si="28"/>
        <v>333.93</v>
      </c>
      <c r="L60" s="323">
        <f t="shared" ca="1" si="21"/>
        <v>3326.8697518768008</v>
      </c>
      <c r="M60" s="319">
        <f ca="1">IF($C$16&gt;=B60,(IF(((P60-(J60+(I59*-1)+1))&lt;=0),1,((SUM(I$24:$I60)-(SUM($N$23:$N$25)))))),"-")</f>
        <v>7279.6599999999989</v>
      </c>
      <c r="N60" s="313">
        <f ca="1">IF($C$16&gt;=B60,(IF((M60&lt;=0),1,((SUM($I$24:I60)-(SUM($N$23:N59)))))),"-")</f>
        <v>271.77999999999975</v>
      </c>
      <c r="O60" s="311">
        <f t="shared" ca="1" si="22"/>
        <v>62.150000000000261</v>
      </c>
      <c r="P60" s="312">
        <f t="shared" ca="1" si="23"/>
        <v>333.93</v>
      </c>
      <c r="Q60" s="314">
        <f t="shared" ca="1" si="11"/>
        <v>333.93</v>
      </c>
      <c r="S60" s="315" t="str">
        <f t="shared" ca="1" si="24"/>
        <v>2029/08/07</v>
      </c>
      <c r="T60" s="228" t="str">
        <f t="shared" ca="1" si="12"/>
        <v>2029</v>
      </c>
      <c r="U60" s="229" t="str">
        <f t="shared" ca="1" si="13"/>
        <v>08</v>
      </c>
      <c r="V60" s="229" t="str">
        <f t="shared" ca="1" si="14"/>
        <v>07</v>
      </c>
      <c r="Y60" s="316">
        <f ca="1">+'Simulador CUOTA (2)'!H60</f>
        <v>3098.0897518768024</v>
      </c>
      <c r="Z60" s="317">
        <f ca="1">+'Simulador CUOTA (2)'!N60</f>
        <v>267.36999999999989</v>
      </c>
      <c r="AA60" s="317">
        <f ca="1">+'Simulador CUOTA (2)'!O60</f>
        <v>44.000000000000114</v>
      </c>
      <c r="AB60" s="317">
        <f ca="1">+'Simulador CUOTA (2)'!P60</f>
        <v>311.37</v>
      </c>
      <c r="AC60" s="318">
        <f t="shared" ca="1" si="17"/>
        <v>22.560000000000002</v>
      </c>
    </row>
    <row r="61" spans="2:29">
      <c r="B61" s="320">
        <v>38</v>
      </c>
      <c r="C61" s="321">
        <f t="shared" ca="1" si="25"/>
        <v>47368</v>
      </c>
      <c r="D61" s="356">
        <f ca="1">IF($C$16&gt;=B61,(VLOOKUP(C61,Hoja1!V:Z,5,0)),"-")</f>
        <v>47392</v>
      </c>
      <c r="E61" s="363">
        <f t="shared" ca="1" si="16"/>
        <v>30</v>
      </c>
      <c r="F61" s="309">
        <f t="shared" ca="1" si="26"/>
        <v>1158</v>
      </c>
      <c r="G61" s="310">
        <f t="shared" ca="1" si="18"/>
        <v>0.52748390300000003</v>
      </c>
      <c r="H61" s="322">
        <f t="shared" ca="1" si="27"/>
        <v>3326.8697518768008</v>
      </c>
      <c r="I61" s="322">
        <f t="shared" ca="1" si="19"/>
        <v>278.34000000000003</v>
      </c>
      <c r="J61" s="311">
        <f t="shared" ca="1" si="20"/>
        <v>55.59</v>
      </c>
      <c r="K61" s="322">
        <f t="shared" ca="1" si="28"/>
        <v>333.93</v>
      </c>
      <c r="L61" s="323">
        <f t="shared" ca="1" si="21"/>
        <v>3048.5297518768007</v>
      </c>
      <c r="M61" s="319">
        <f ca="1">IF($C$16&gt;=B61,(IF(((P61-(J61+(I60*-1)+1))&lt;=0),1,((SUM(I$24:$I61)-(SUM($N$23:$N$25)))))),"-")</f>
        <v>7557.9999999999991</v>
      </c>
      <c r="N61" s="313">
        <f ca="1">IF($C$16&gt;=B61,(IF((M61&lt;=0),1,((SUM($I$24:I61)-(SUM($N$23:N60)))))),"-")</f>
        <v>278.34000000000015</v>
      </c>
      <c r="O61" s="311">
        <f t="shared" ca="1" si="22"/>
        <v>55.589999999999861</v>
      </c>
      <c r="P61" s="312">
        <f t="shared" ca="1" si="23"/>
        <v>333.93</v>
      </c>
      <c r="Q61" s="314">
        <f t="shared" ca="1" si="11"/>
        <v>333.93</v>
      </c>
      <c r="S61" s="315" t="str">
        <f t="shared" ca="1" si="24"/>
        <v>2029/09/07</v>
      </c>
      <c r="T61" s="228" t="str">
        <f t="shared" ca="1" si="12"/>
        <v>2029</v>
      </c>
      <c r="U61" s="229" t="str">
        <f t="shared" ca="1" si="13"/>
        <v>09</v>
      </c>
      <c r="V61" s="229" t="str">
        <f t="shared" ca="1" si="14"/>
        <v>07</v>
      </c>
      <c r="Y61" s="316">
        <f ca="1">+'Simulador CUOTA (2)'!H61</f>
        <v>2830.7197518768025</v>
      </c>
      <c r="Z61" s="317">
        <f ca="1">+'Simulador CUOTA (2)'!N61</f>
        <v>269.82000000000062</v>
      </c>
      <c r="AA61" s="317">
        <f ca="1">+'Simulador CUOTA (2)'!O61</f>
        <v>41.549999999999386</v>
      </c>
      <c r="AB61" s="317">
        <f ca="1">+'Simulador CUOTA (2)'!P61</f>
        <v>311.37</v>
      </c>
      <c r="AC61" s="318">
        <f t="shared" ca="1" si="17"/>
        <v>22.560000000000002</v>
      </c>
    </row>
    <row r="62" spans="2:29">
      <c r="B62" s="320">
        <v>39</v>
      </c>
      <c r="C62" s="321">
        <f t="shared" ca="1" si="25"/>
        <v>47398</v>
      </c>
      <c r="D62" s="356">
        <f ca="1">IF($C$16&gt;=B62,(VLOOKUP(C62,Hoja1!V:Z,5,0)),"-")</f>
        <v>47423</v>
      </c>
      <c r="E62" s="363">
        <f t="shared" ca="1" si="16"/>
        <v>31</v>
      </c>
      <c r="F62" s="309">
        <f t="shared" ca="1" si="26"/>
        <v>1189</v>
      </c>
      <c r="G62" s="310">
        <f t="shared" ca="1" si="18"/>
        <v>0.51852854599999998</v>
      </c>
      <c r="H62" s="322">
        <f t="shared" ca="1" si="27"/>
        <v>3048.5297518768007</v>
      </c>
      <c r="I62" s="322">
        <f t="shared" ca="1" si="19"/>
        <v>281.28000000000003</v>
      </c>
      <c r="J62" s="311">
        <f t="shared" ca="1" si="20"/>
        <v>52.65</v>
      </c>
      <c r="K62" s="322">
        <f t="shared" ca="1" si="28"/>
        <v>333.93</v>
      </c>
      <c r="L62" s="323">
        <f t="shared" ca="1" si="21"/>
        <v>2767.2497518768005</v>
      </c>
      <c r="M62" s="319">
        <f ca="1">IF($C$16&gt;=B62,(IF(((P62-(J62+(I61*-1)+1))&lt;=0),1,((SUM(I$24:$I62)-(SUM($N$23:$N$25)))))),"-")</f>
        <v>7839.2799999999988</v>
      </c>
      <c r="N62" s="313">
        <f ca="1">IF($C$16&gt;=B62,(IF((M62&lt;=0),1,((SUM($I$24:I62)-(SUM($N$23:N61)))))),"-")</f>
        <v>281.27999999999975</v>
      </c>
      <c r="O62" s="311">
        <f t="shared" ca="1" si="22"/>
        <v>52.650000000000261</v>
      </c>
      <c r="P62" s="312">
        <f t="shared" ca="1" si="23"/>
        <v>333.93</v>
      </c>
      <c r="Q62" s="314">
        <f t="shared" ca="1" si="11"/>
        <v>333.93</v>
      </c>
      <c r="S62" s="315" t="str">
        <f t="shared" ca="1" si="24"/>
        <v>2029/10/07</v>
      </c>
      <c r="T62" s="228" t="str">
        <f t="shared" ca="1" si="12"/>
        <v>2029</v>
      </c>
      <c r="U62" s="229" t="str">
        <f t="shared" ca="1" si="13"/>
        <v>10</v>
      </c>
      <c r="V62" s="229" t="str">
        <f t="shared" ca="1" si="14"/>
        <v>07</v>
      </c>
      <c r="Y62" s="316">
        <f ca="1">+'Simulador CUOTA (2)'!H62</f>
        <v>2560.8997518768024</v>
      </c>
      <c r="Z62" s="317">
        <f ca="1">+'Simulador CUOTA (2)'!N62</f>
        <v>273.78000000000065</v>
      </c>
      <c r="AA62" s="317">
        <f ca="1">+'Simulador CUOTA (2)'!O62</f>
        <v>37.58999999999935</v>
      </c>
      <c r="AB62" s="317">
        <f ca="1">+'Simulador CUOTA (2)'!P62</f>
        <v>311.37</v>
      </c>
      <c r="AC62" s="318">
        <f t="shared" ca="1" si="17"/>
        <v>22.560000000000002</v>
      </c>
    </row>
    <row r="63" spans="2:29">
      <c r="B63" s="320">
        <v>40</v>
      </c>
      <c r="C63" s="321">
        <f t="shared" ca="1" si="25"/>
        <v>47429</v>
      </c>
      <c r="D63" s="356">
        <f ca="1">IF($C$16&gt;=B63,(VLOOKUP(C63,Hoja1!V:Z,5,0)),"-")</f>
        <v>47453</v>
      </c>
      <c r="E63" s="363">
        <f t="shared" ca="1" si="16"/>
        <v>30</v>
      </c>
      <c r="F63" s="309">
        <f t="shared" ca="1" si="26"/>
        <v>1219</v>
      </c>
      <c r="G63" s="310">
        <f t="shared" ca="1" si="18"/>
        <v>0.51000685999999995</v>
      </c>
      <c r="H63" s="322">
        <f t="shared" ca="1" si="27"/>
        <v>2767.2497518768005</v>
      </c>
      <c r="I63" s="322">
        <f t="shared" ca="1" si="19"/>
        <v>287.69</v>
      </c>
      <c r="J63" s="311">
        <f t="shared" ca="1" si="20"/>
        <v>46.24</v>
      </c>
      <c r="K63" s="322">
        <f t="shared" ca="1" si="28"/>
        <v>333.93</v>
      </c>
      <c r="L63" s="323">
        <f t="shared" ca="1" si="21"/>
        <v>2479.5597518768004</v>
      </c>
      <c r="M63" s="319">
        <f ca="1">IF($C$16&gt;=B63,(IF(((P63-(J63+(I62*-1)+1))&lt;=0),1,((SUM(I$24:$I63)-(SUM($N$23:$N$25)))))),"-")</f>
        <v>8126.9699999999993</v>
      </c>
      <c r="N63" s="313">
        <f ca="1">IF($C$16&gt;=B63,(IF((M63&lt;=0),1,((SUM($I$24:I63)-(SUM($N$23:N62)))))),"-")</f>
        <v>287.69000000000051</v>
      </c>
      <c r="O63" s="311">
        <f t="shared" ca="1" si="22"/>
        <v>46.239999999999498</v>
      </c>
      <c r="P63" s="312">
        <f t="shared" ca="1" si="23"/>
        <v>333.93</v>
      </c>
      <c r="Q63" s="314">
        <f t="shared" ca="1" si="11"/>
        <v>333.93</v>
      </c>
      <c r="S63" s="315" t="str">
        <f t="shared" ca="1" si="24"/>
        <v>2029/11/07</v>
      </c>
      <c r="T63" s="228" t="str">
        <f t="shared" ca="1" si="12"/>
        <v>2029</v>
      </c>
      <c r="U63" s="229" t="str">
        <f t="shared" ca="1" si="13"/>
        <v>11</v>
      </c>
      <c r="V63" s="229" t="str">
        <f t="shared" ca="1" si="14"/>
        <v>07</v>
      </c>
      <c r="Y63" s="316">
        <f ca="1">+'Simulador CUOTA (2)'!H63</f>
        <v>2287.1197518768022</v>
      </c>
      <c r="Z63" s="317">
        <f ca="1">+'Simulador CUOTA (2)'!N63</f>
        <v>278.88999999999942</v>
      </c>
      <c r="AA63" s="317">
        <f ca="1">+'Simulador CUOTA (2)'!O63</f>
        <v>32.480000000000587</v>
      </c>
      <c r="AB63" s="317">
        <f ca="1">+'Simulador CUOTA (2)'!P63</f>
        <v>311.37</v>
      </c>
      <c r="AC63" s="318">
        <f t="shared" ca="1" si="17"/>
        <v>22.560000000000002</v>
      </c>
    </row>
    <row r="64" spans="2:29">
      <c r="B64" s="320">
        <v>41</v>
      </c>
      <c r="C64" s="321">
        <f t="shared" ca="1" si="25"/>
        <v>47459</v>
      </c>
      <c r="D64" s="356">
        <f ca="1">IF($C$16&gt;=B64,(VLOOKUP(C64,Hoja1!V:Z,5,0)),"-")</f>
        <v>47484</v>
      </c>
      <c r="E64" s="363">
        <f t="shared" ca="1" si="16"/>
        <v>31</v>
      </c>
      <c r="F64" s="309">
        <f t="shared" ca="1" si="26"/>
        <v>1250</v>
      </c>
      <c r="G64" s="310">
        <f t="shared" ca="1" si="18"/>
        <v>0.50134821900000004</v>
      </c>
      <c r="H64" s="322">
        <f t="shared" ca="1" si="27"/>
        <v>2479.5597518768004</v>
      </c>
      <c r="I64" s="322">
        <f t="shared" ca="1" si="19"/>
        <v>291.11</v>
      </c>
      <c r="J64" s="311">
        <f t="shared" ca="1" si="20"/>
        <v>42.82</v>
      </c>
      <c r="K64" s="322">
        <f t="shared" ca="1" si="28"/>
        <v>333.93</v>
      </c>
      <c r="L64" s="323">
        <f t="shared" ca="1" si="21"/>
        <v>2188.4497518768003</v>
      </c>
      <c r="M64" s="319">
        <f ca="1">IF($C$16&gt;=B64,(IF(((P64-(J64+(I63*-1)+1))&lt;=0),1,((SUM(I$24:$I64)-(SUM($N$23:$N$25)))))),"-")</f>
        <v>8418.08</v>
      </c>
      <c r="N64" s="313">
        <f ca="1">IF($C$16&gt;=B64,(IF((M64&lt;=0),1,((SUM($I$24:I64)-(SUM($N$23:N63)))))),"-")</f>
        <v>291.11000000000058</v>
      </c>
      <c r="O64" s="311">
        <f t="shared" ca="1" si="22"/>
        <v>42.819999999999425</v>
      </c>
      <c r="P64" s="312">
        <f t="shared" ca="1" si="23"/>
        <v>333.93</v>
      </c>
      <c r="Q64" s="314">
        <f t="shared" ca="1" si="11"/>
        <v>333.93</v>
      </c>
      <c r="S64" s="315" t="str">
        <f t="shared" ca="1" si="24"/>
        <v>2029/12/07</v>
      </c>
      <c r="T64" s="228" t="str">
        <f t="shared" ca="1" si="12"/>
        <v>2029</v>
      </c>
      <c r="U64" s="229" t="str">
        <f t="shared" ca="1" si="13"/>
        <v>12</v>
      </c>
      <c r="V64" s="229" t="str">
        <f t="shared" ca="1" si="14"/>
        <v>07</v>
      </c>
      <c r="Y64" s="316">
        <f ca="1">+'Simulador CUOTA (2)'!H64</f>
        <v>2008.2297518768023</v>
      </c>
      <c r="Z64" s="317">
        <f ca="1">+'Simulador CUOTA (2)'!N64</f>
        <v>281.88999999999942</v>
      </c>
      <c r="AA64" s="317">
        <f ca="1">+'Simulador CUOTA (2)'!O64</f>
        <v>29.480000000000587</v>
      </c>
      <c r="AB64" s="317">
        <f ca="1">+'Simulador CUOTA (2)'!P64</f>
        <v>311.37</v>
      </c>
      <c r="AC64" s="318">
        <f t="shared" ca="1" si="17"/>
        <v>22.560000000000002</v>
      </c>
    </row>
    <row r="65" spans="2:29">
      <c r="B65" s="320">
        <v>42</v>
      </c>
      <c r="C65" s="321">
        <f t="shared" ca="1" si="25"/>
        <v>47490</v>
      </c>
      <c r="D65" s="356">
        <f ca="1">IF($C$16&gt;=B65,(VLOOKUP(C65,Hoja1!V:Z,5,0)),"-")</f>
        <v>47515</v>
      </c>
      <c r="E65" s="363">
        <f t="shared" ca="1" si="16"/>
        <v>31</v>
      </c>
      <c r="F65" s="309">
        <f t="shared" ca="1" si="26"/>
        <v>1281</v>
      </c>
      <c r="G65" s="310">
        <f t="shared" ca="1" si="18"/>
        <v>0.492836581</v>
      </c>
      <c r="H65" s="322">
        <f t="shared" ca="1" si="27"/>
        <v>2188.4497518768003</v>
      </c>
      <c r="I65" s="322">
        <f t="shared" ca="1" si="19"/>
        <v>296.13</v>
      </c>
      <c r="J65" s="311">
        <f t="shared" ca="1" si="20"/>
        <v>37.799999999999997</v>
      </c>
      <c r="K65" s="322">
        <f t="shared" ca="1" si="28"/>
        <v>333.93</v>
      </c>
      <c r="L65" s="323">
        <f t="shared" ca="1" si="21"/>
        <v>1892.3197518768002</v>
      </c>
      <c r="M65" s="319">
        <f ca="1">IF($C$16&gt;=B65,(IF(((P65-(J65+(I64*-1)+1))&lt;=0),1,((SUM(I$24:$I65)-(SUM($N$23:$N$25)))))),"-")</f>
        <v>8714.2099999999991</v>
      </c>
      <c r="N65" s="313">
        <f ca="1">IF($C$16&gt;=B65,(IF((M65&lt;=0),1,((SUM($I$24:I65)-(SUM($N$23:N64)))))),"-")</f>
        <v>296.1299999999992</v>
      </c>
      <c r="O65" s="311">
        <f t="shared" ca="1" si="22"/>
        <v>37.800000000000807</v>
      </c>
      <c r="P65" s="312">
        <f t="shared" ca="1" si="23"/>
        <v>333.93</v>
      </c>
      <c r="Q65" s="314">
        <f t="shared" ca="1" si="11"/>
        <v>333.93</v>
      </c>
      <c r="S65" s="315" t="str">
        <f t="shared" ca="1" si="24"/>
        <v>2030/01/07</v>
      </c>
      <c r="T65" s="228" t="str">
        <f t="shared" ca="1" si="12"/>
        <v>2030</v>
      </c>
      <c r="U65" s="229" t="str">
        <f t="shared" ca="1" si="13"/>
        <v>01</v>
      </c>
      <c r="V65" s="229" t="str">
        <f t="shared" ca="1" si="14"/>
        <v>07</v>
      </c>
      <c r="Y65" s="316">
        <f ca="1">+'Simulador CUOTA (2)'!H65</f>
        <v>1726.3397518768024</v>
      </c>
      <c r="Z65" s="317">
        <f ca="1">+'Simulador CUOTA (2)'!N65</f>
        <v>286.85000000000036</v>
      </c>
      <c r="AA65" s="317">
        <f ca="1">+'Simulador CUOTA (2)'!O65</f>
        <v>24.519999999999641</v>
      </c>
      <c r="AB65" s="317">
        <f ca="1">+'Simulador CUOTA (2)'!P65</f>
        <v>311.37</v>
      </c>
      <c r="AC65" s="318">
        <f t="shared" ca="1" si="17"/>
        <v>22.560000000000002</v>
      </c>
    </row>
    <row r="66" spans="2:29">
      <c r="B66" s="320">
        <v>43</v>
      </c>
      <c r="C66" s="321">
        <f t="shared" ca="1" si="25"/>
        <v>47521</v>
      </c>
      <c r="D66" s="356">
        <f ca="1">IF($C$16&gt;=B66,(VLOOKUP(C66,Hoja1!V:Z,5,0)),"-")</f>
        <v>47543</v>
      </c>
      <c r="E66" s="363">
        <f t="shared" ca="1" si="16"/>
        <v>28</v>
      </c>
      <c r="F66" s="309">
        <f t="shared" ca="1" si="26"/>
        <v>1309</v>
      </c>
      <c r="G66" s="310">
        <f t="shared" ca="1" si="18"/>
        <v>0.48527292399999999</v>
      </c>
      <c r="H66" s="322">
        <f t="shared" ca="1" si="27"/>
        <v>1892.3197518768002</v>
      </c>
      <c r="I66" s="322">
        <f t="shared" ca="1" si="19"/>
        <v>304.44</v>
      </c>
      <c r="J66" s="311">
        <f t="shared" ca="1" si="20"/>
        <v>29.49</v>
      </c>
      <c r="K66" s="322">
        <f t="shared" ca="1" si="28"/>
        <v>333.93</v>
      </c>
      <c r="L66" s="323">
        <f t="shared" ca="1" si="21"/>
        <v>1587.8797518768001</v>
      </c>
      <c r="M66" s="319">
        <f ca="1">IF($C$16&gt;=B66,(IF(((P66-(J66+(I65*-1)+1))&lt;=0),1,((SUM(I$24:$I66)-(SUM($N$23:$N$25)))))),"-")</f>
        <v>9018.65</v>
      </c>
      <c r="N66" s="313">
        <f ca="1">IF($C$16&gt;=B66,(IF((M66&lt;=0),1,((SUM($I$24:I66)-(SUM($N$23:N65)))))),"-")</f>
        <v>304.44000000000051</v>
      </c>
      <c r="O66" s="311">
        <f t="shared" ca="1" si="22"/>
        <v>29.489999999999498</v>
      </c>
      <c r="P66" s="312">
        <f t="shared" ca="1" si="23"/>
        <v>333.93</v>
      </c>
      <c r="Q66" s="314">
        <f t="shared" ca="1" si="11"/>
        <v>333.93</v>
      </c>
      <c r="S66" s="315" t="str">
        <f t="shared" ca="1" si="24"/>
        <v>2030/02/07</v>
      </c>
      <c r="T66" s="228" t="str">
        <f t="shared" ca="1" si="12"/>
        <v>2030</v>
      </c>
      <c r="U66" s="229" t="str">
        <f t="shared" ca="1" si="13"/>
        <v>02</v>
      </c>
      <c r="V66" s="229" t="str">
        <f t="shared" ca="1" si="14"/>
        <v>07</v>
      </c>
      <c r="Y66" s="316">
        <f ca="1">+'Simulador CUOTA (2)'!H66</f>
        <v>1439.4897518768025</v>
      </c>
      <c r="Z66" s="317">
        <f ca="1">+'Simulador CUOTA (2)'!N66</f>
        <v>290.23999999999978</v>
      </c>
      <c r="AA66" s="317">
        <f ca="1">+'Simulador CUOTA (2)'!O66</f>
        <v>21.130000000000223</v>
      </c>
      <c r="AB66" s="317">
        <f ca="1">+'Simulador CUOTA (2)'!P66</f>
        <v>311.37</v>
      </c>
      <c r="AC66" s="318">
        <f t="shared" ca="1" si="17"/>
        <v>22.560000000000002</v>
      </c>
    </row>
    <row r="67" spans="2:29">
      <c r="B67" s="320">
        <v>44</v>
      </c>
      <c r="C67" s="321">
        <f t="shared" ca="1" si="25"/>
        <v>47549</v>
      </c>
      <c r="D67" s="356">
        <f ca="1">IF($C$16&gt;=B67,(VLOOKUP(C67,Hoja1!V:Z,5,0)),"-")</f>
        <v>47574</v>
      </c>
      <c r="E67" s="363">
        <f t="shared" ca="1" si="16"/>
        <v>31</v>
      </c>
      <c r="F67" s="309">
        <f t="shared" ca="1" si="26"/>
        <v>1340</v>
      </c>
      <c r="G67" s="310">
        <f t="shared" ca="1" si="18"/>
        <v>0.47703420299999999</v>
      </c>
      <c r="H67" s="322">
        <f t="shared" ca="1" si="27"/>
        <v>1587.8797518768001</v>
      </c>
      <c r="I67" s="322">
        <f t="shared" ca="1" si="19"/>
        <v>306.51</v>
      </c>
      <c r="J67" s="311">
        <f t="shared" ca="1" si="20"/>
        <v>27.42</v>
      </c>
      <c r="K67" s="322">
        <f t="shared" ca="1" si="28"/>
        <v>333.93</v>
      </c>
      <c r="L67" s="323">
        <f t="shared" ca="1" si="21"/>
        <v>1281.3697518768001</v>
      </c>
      <c r="M67" s="319">
        <f ca="1">IF($C$16&gt;=B67,(IF(((P67-(J67+(I66*-1)+1))&lt;=0),1,((SUM(I$24:$I67)-(SUM($N$23:$N$25)))))),"-")</f>
        <v>9325.16</v>
      </c>
      <c r="N67" s="313">
        <f ca="1">IF($C$16&gt;=B67,(IF((M67&lt;=0),1,((SUM($I$24:I67)-(SUM($N$23:N66)))))),"-")</f>
        <v>306.51000000000022</v>
      </c>
      <c r="O67" s="311">
        <f t="shared" ca="1" si="22"/>
        <v>27.419999999999789</v>
      </c>
      <c r="P67" s="312">
        <f t="shared" ca="1" si="23"/>
        <v>333.93</v>
      </c>
      <c r="Q67" s="314">
        <f t="shared" ca="1" si="11"/>
        <v>333.93</v>
      </c>
      <c r="S67" s="315" t="str">
        <f t="shared" ca="1" si="24"/>
        <v>2030/03/07</v>
      </c>
      <c r="T67" s="228" t="str">
        <f t="shared" ca="1" si="12"/>
        <v>2030</v>
      </c>
      <c r="U67" s="229" t="str">
        <f t="shared" ca="1" si="13"/>
        <v>03</v>
      </c>
      <c r="V67" s="229" t="str">
        <f t="shared" ca="1" si="14"/>
        <v>07</v>
      </c>
      <c r="Y67" s="316">
        <f ca="1">+'Simulador CUOTA (2)'!H67</f>
        <v>1149.2497518768025</v>
      </c>
      <c r="Z67" s="317">
        <f ca="1">+'Simulador CUOTA (2)'!N67</f>
        <v>294.5</v>
      </c>
      <c r="AA67" s="317">
        <f ca="1">+'Simulador CUOTA (2)'!O67</f>
        <v>16.870000000000005</v>
      </c>
      <c r="AB67" s="317">
        <f ca="1">+'Simulador CUOTA (2)'!P67</f>
        <v>311.37</v>
      </c>
      <c r="AC67" s="318">
        <f t="shared" ca="1" si="17"/>
        <v>22.560000000000002</v>
      </c>
    </row>
    <row r="68" spans="2:29">
      <c r="B68" s="320">
        <v>45</v>
      </c>
      <c r="C68" s="321">
        <f t="shared" ca="1" si="25"/>
        <v>47580</v>
      </c>
      <c r="D68" s="356">
        <f ca="1">IF($C$16&gt;=B68,(VLOOKUP(C68,Hoja1!V:Z,5,0)),"-")</f>
        <v>47604</v>
      </c>
      <c r="E68" s="363">
        <f t="shared" ca="1" si="16"/>
        <v>30</v>
      </c>
      <c r="F68" s="309">
        <f t="shared" ca="1" si="26"/>
        <v>1370</v>
      </c>
      <c r="G68" s="310">
        <f t="shared" ca="1" si="18"/>
        <v>0.46919444999999999</v>
      </c>
      <c r="H68" s="322">
        <f t="shared" ca="1" si="27"/>
        <v>1281.3697518768001</v>
      </c>
      <c r="I68" s="322">
        <f t="shared" ca="1" si="19"/>
        <v>312.52</v>
      </c>
      <c r="J68" s="311">
        <f t="shared" ca="1" si="20"/>
        <v>21.41</v>
      </c>
      <c r="K68" s="322">
        <f t="shared" ca="1" si="28"/>
        <v>333.93</v>
      </c>
      <c r="L68" s="323">
        <f t="shared" ca="1" si="21"/>
        <v>968.84975187680016</v>
      </c>
      <c r="M68" s="319">
        <f ca="1">IF($C$16&gt;=B68,(IF(((P68-(J68+(I67*-1)+1))&lt;=0),1,((SUM(I$24:$I68)-(SUM($N$23:$N$25)))))),"-")</f>
        <v>9637.68</v>
      </c>
      <c r="N68" s="313">
        <f ca="1">IF($C$16&gt;=B68,(IF((M68&lt;=0),1,((SUM($I$24:I68)-(SUM($N$23:N67)))))),"-")</f>
        <v>312.52000000000044</v>
      </c>
      <c r="O68" s="311">
        <f t="shared" ca="1" si="22"/>
        <v>21.40999999999957</v>
      </c>
      <c r="P68" s="312">
        <f t="shared" ca="1" si="23"/>
        <v>333.93</v>
      </c>
      <c r="Q68" s="314">
        <f t="shared" ca="1" si="11"/>
        <v>333.93</v>
      </c>
      <c r="S68" s="315" t="str">
        <f t="shared" ca="1" si="24"/>
        <v>2030/04/07</v>
      </c>
      <c r="T68" s="228" t="str">
        <f t="shared" ca="1" si="12"/>
        <v>2030</v>
      </c>
      <c r="U68" s="229" t="str">
        <f t="shared" ca="1" si="13"/>
        <v>04</v>
      </c>
      <c r="V68" s="229" t="str">
        <f t="shared" ca="1" si="14"/>
        <v>07</v>
      </c>
      <c r="Y68" s="316">
        <f ca="1">+'Simulador CUOTA (2)'!H68</f>
        <v>854.74975187680252</v>
      </c>
      <c r="Z68" s="317">
        <f ca="1">+'Simulador CUOTA (2)'!N68</f>
        <v>300.04000000000087</v>
      </c>
      <c r="AA68" s="317">
        <f ca="1">+'Simulador CUOTA (2)'!O68</f>
        <v>11.329999999999131</v>
      </c>
      <c r="AB68" s="317">
        <f ca="1">+'Simulador CUOTA (2)'!P68</f>
        <v>311.37</v>
      </c>
      <c r="AC68" s="318">
        <f t="shared" ca="1" si="17"/>
        <v>22.560000000000002</v>
      </c>
    </row>
    <row r="69" spans="2:29">
      <c r="B69" s="320">
        <v>46</v>
      </c>
      <c r="C69" s="321">
        <f t="shared" ca="1" si="25"/>
        <v>47610</v>
      </c>
      <c r="D69" s="356">
        <f ca="1">IF($C$16&gt;=B69,(VLOOKUP(C69,Hoja1!V:Z,5,0)),"-")</f>
        <v>47635</v>
      </c>
      <c r="E69" s="363">
        <f t="shared" ca="1" si="16"/>
        <v>31</v>
      </c>
      <c r="F69" s="309">
        <f t="shared" ca="1" si="26"/>
        <v>1401</v>
      </c>
      <c r="G69" s="310">
        <f t="shared" ca="1" si="18"/>
        <v>0.46122870199999999</v>
      </c>
      <c r="H69" s="322">
        <f t="shared" ca="1" si="27"/>
        <v>968.84975187680016</v>
      </c>
      <c r="I69" s="322">
        <f t="shared" ca="1" si="19"/>
        <v>317.2</v>
      </c>
      <c r="J69" s="311">
        <f t="shared" ca="1" si="20"/>
        <v>16.73</v>
      </c>
      <c r="K69" s="322">
        <f t="shared" ca="1" si="28"/>
        <v>333.93</v>
      </c>
      <c r="L69" s="323">
        <f t="shared" ca="1" si="21"/>
        <v>651.64975187680011</v>
      </c>
      <c r="M69" s="319">
        <f ca="1">IF($C$16&gt;=B69,(IF(((P69-(J69+(I68*-1)+1))&lt;=0),1,((SUM(I$24:$I69)-(SUM($N$23:$N$25)))))),"-")</f>
        <v>9954.880000000001</v>
      </c>
      <c r="N69" s="313">
        <f ca="1">IF($C$16&gt;=B69,(IF((M69&lt;=0),1,((SUM($I$24:I69)-(SUM($N$23:N68)))))),"-")</f>
        <v>317.20000000000073</v>
      </c>
      <c r="O69" s="311">
        <f t="shared" ca="1" si="22"/>
        <v>16.729999999999279</v>
      </c>
      <c r="P69" s="312">
        <f t="shared" ca="1" si="23"/>
        <v>333.93</v>
      </c>
      <c r="Q69" s="314">
        <f t="shared" ca="1" si="11"/>
        <v>333.93</v>
      </c>
      <c r="S69" s="315" t="str">
        <f t="shared" ca="1" si="24"/>
        <v>2030/05/07</v>
      </c>
      <c r="T69" s="228" t="str">
        <f t="shared" ca="1" si="12"/>
        <v>2030</v>
      </c>
      <c r="U69" s="229" t="str">
        <f t="shared" ca="1" si="13"/>
        <v>05</v>
      </c>
      <c r="V69" s="229" t="str">
        <f t="shared" ca="1" si="14"/>
        <v>07</v>
      </c>
      <c r="Y69" s="316">
        <f ca="1">+'Simulador CUOTA (2)'!H69</f>
        <v>554.70975187680256</v>
      </c>
      <c r="Z69" s="317">
        <f ca="1">+'Simulador CUOTA (2)'!N69</f>
        <v>303.22999999999956</v>
      </c>
      <c r="AA69" s="317">
        <f ca="1">+'Simulador CUOTA (2)'!O69</f>
        <v>8.1400000000004411</v>
      </c>
      <c r="AB69" s="317">
        <f ca="1">+'Simulador CUOTA (2)'!P69</f>
        <v>311.37</v>
      </c>
      <c r="AC69" s="318">
        <f t="shared" ca="1" si="17"/>
        <v>22.560000000000002</v>
      </c>
    </row>
    <row r="70" spans="2:29">
      <c r="B70" s="320">
        <v>47</v>
      </c>
      <c r="C70" s="321">
        <f t="shared" ca="1" si="25"/>
        <v>47641</v>
      </c>
      <c r="D70" s="356">
        <f ca="1">IF($C$16&gt;=B70,(VLOOKUP(C70,Hoja1!V:Z,5,0)),"-")</f>
        <v>47665</v>
      </c>
      <c r="E70" s="363">
        <f t="shared" ca="1" si="16"/>
        <v>30</v>
      </c>
      <c r="F70" s="309">
        <f t="shared" ca="1" si="26"/>
        <v>1431</v>
      </c>
      <c r="G70" s="310">
        <f t="shared" ca="1" si="18"/>
        <v>0.45364870200000001</v>
      </c>
      <c r="H70" s="322">
        <f t="shared" ca="1" si="27"/>
        <v>651.64975187680011</v>
      </c>
      <c r="I70" s="322">
        <f t="shared" ca="1" si="19"/>
        <v>323.04000000000002</v>
      </c>
      <c r="J70" s="311">
        <f t="shared" ca="1" si="20"/>
        <v>10.89</v>
      </c>
      <c r="K70" s="322">
        <f t="shared" ca="1" si="28"/>
        <v>333.93</v>
      </c>
      <c r="L70" s="323">
        <f t="shared" ca="1" si="21"/>
        <v>328.60975187680009</v>
      </c>
      <c r="M70" s="319">
        <f ca="1">IF($C$16&gt;=B70,(IF(((P70-(J70+(I69*-1)+1))&lt;=0),1,((SUM(I$24:$I70)-(SUM($N$23:$N$25)))))),"-")</f>
        <v>10277.920000000002</v>
      </c>
      <c r="N70" s="313">
        <f ca="1">IF($C$16&gt;=B70,(IF((M70&lt;=0),1,((SUM($I$24:I70)-(SUM($N$23:N69)))))),"-")</f>
        <v>323.04000000000087</v>
      </c>
      <c r="O70" s="311">
        <f t="shared" ca="1" si="22"/>
        <v>10.889999999999134</v>
      </c>
      <c r="P70" s="312">
        <f t="shared" ca="1" si="23"/>
        <v>333.93</v>
      </c>
      <c r="Q70" s="314">
        <f t="shared" ca="1" si="11"/>
        <v>333.93</v>
      </c>
      <c r="S70" s="315" t="str">
        <f t="shared" ca="1" si="24"/>
        <v>2030/06/07</v>
      </c>
      <c r="T70" s="228" t="str">
        <f t="shared" ca="1" si="12"/>
        <v>2030</v>
      </c>
      <c r="U70" s="229" t="str">
        <f t="shared" ca="1" si="13"/>
        <v>06</v>
      </c>
      <c r="V70" s="229" t="str">
        <f t="shared" ca="1" si="14"/>
        <v>07</v>
      </c>
      <c r="Y70" s="316">
        <f ca="1">+'Simulador CUOTA (2)'!H70</f>
        <v>251.47975187680254</v>
      </c>
      <c r="Z70" s="317">
        <f ca="1">+'Simulador CUOTA (2)'!N70</f>
        <v>307.79999999999927</v>
      </c>
      <c r="AA70" s="317">
        <f ca="1">+'Simulador CUOTA (2)'!O70</f>
        <v>3.5700000000007321</v>
      </c>
      <c r="AB70" s="317">
        <f ca="1">+'Simulador CUOTA (2)'!P70</f>
        <v>311.37</v>
      </c>
      <c r="AC70" s="318">
        <f t="shared" ca="1" si="17"/>
        <v>22.560000000000002</v>
      </c>
    </row>
    <row r="71" spans="2:29">
      <c r="B71" s="320">
        <v>48</v>
      </c>
      <c r="C71" s="321">
        <f t="shared" ca="1" si="25"/>
        <v>47671</v>
      </c>
      <c r="D71" s="356">
        <f ca="1">IF($C$16&gt;=B71,(VLOOKUP(C71,Hoja1!V:Z,5,0)),"-")</f>
        <v>47696</v>
      </c>
      <c r="E71" s="363">
        <f t="shared" ca="1" si="16"/>
        <v>31</v>
      </c>
      <c r="F71" s="309">
        <f t="shared" ca="1" si="26"/>
        <v>1462</v>
      </c>
      <c r="G71" s="310">
        <f t="shared" ca="1" si="18"/>
        <v>0.44594688199999999</v>
      </c>
      <c r="H71" s="322">
        <f t="shared" ca="1" si="27"/>
        <v>328.60975187680009</v>
      </c>
      <c r="I71" s="322">
        <f t="shared" ca="1" si="19"/>
        <v>328.60975187680009</v>
      </c>
      <c r="J71" s="311">
        <f t="shared" ca="1" si="20"/>
        <v>5.3202481231999172</v>
      </c>
      <c r="K71" s="322">
        <f t="shared" ca="1" si="28"/>
        <v>333.93</v>
      </c>
      <c r="L71" s="323">
        <f t="shared" ca="1" si="21"/>
        <v>0</v>
      </c>
      <c r="M71" s="319">
        <f ca="1">IF($C$16&gt;=B71,(IF(((P71-(J71+(I70*-1)+1))&lt;=0),1,((SUM(I$24:$I71)-(SUM($N$23:$N$25)))))),"-")</f>
        <v>10606.529751876802</v>
      </c>
      <c r="N71" s="313">
        <f ca="1">IF($C$16&gt;=B71,(IF((M71&lt;=0),1,((SUM($I$24:I71)-(SUM($N$23:N70)))))),"-")</f>
        <v>328.60975187680015</v>
      </c>
      <c r="O71" s="311">
        <f t="shared" ca="1" si="22"/>
        <v>5.3202481231998604</v>
      </c>
      <c r="P71" s="312">
        <f t="shared" ca="1" si="23"/>
        <v>333.93</v>
      </c>
      <c r="Q71" s="314">
        <f t="shared" ca="1" si="11"/>
        <v>333.93</v>
      </c>
      <c r="S71" s="315" t="str">
        <f t="shared" ca="1" si="24"/>
        <v>2030/07/07</v>
      </c>
      <c r="T71" s="228" t="str">
        <f t="shared" ca="1" si="12"/>
        <v>2030</v>
      </c>
      <c r="U71" s="229" t="str">
        <f t="shared" ca="1" si="13"/>
        <v>07</v>
      </c>
      <c r="V71" s="229" t="str">
        <f t="shared" ca="1" si="14"/>
        <v>07</v>
      </c>
      <c r="Y71" s="316">
        <f ca="1">+'Simulador CUOTA (2)'!H71</f>
        <v>-56.320248123197473</v>
      </c>
      <c r="Z71" s="317">
        <f ca="1">+'Simulador CUOTA (2)'!N71</f>
        <v>-56.320248123198326</v>
      </c>
      <c r="AA71" s="317">
        <f ca="1">+'Simulador CUOTA (2)'!O71</f>
        <v>367.69024812319833</v>
      </c>
      <c r="AB71" s="317">
        <f ca="1">+'Simulador CUOTA (2)'!P71</f>
        <v>311.37</v>
      </c>
      <c r="AC71" s="318">
        <f t="shared" ca="1" si="17"/>
        <v>22.560000000000002</v>
      </c>
    </row>
    <row r="72" spans="2:29" hidden="1">
      <c r="B72" s="320">
        <v>61</v>
      </c>
      <c r="C72" s="321" t="str">
        <f t="shared" si="25"/>
        <v>-</v>
      </c>
      <c r="D72" s="356" t="str">
        <f>IF($C$16&gt;=B72,(VLOOKUP(C72,Hoja1!V:Y,4,0)),"-")</f>
        <v>-</v>
      </c>
      <c r="E72" s="321" t="str">
        <f>IF($C$16&gt;=B72,D72-#REF!,"-")</f>
        <v>-</v>
      </c>
      <c r="F72" s="309" t="str">
        <f>IF($C$16&gt;=B72,E72+#REF!,"-")</f>
        <v>-</v>
      </c>
      <c r="G72" s="310" t="str">
        <f t="shared" si="18"/>
        <v>-</v>
      </c>
      <c r="H72" s="322" t="str">
        <f>IF($C$16&gt;=B72,#REF!,"-")</f>
        <v>-</v>
      </c>
      <c r="I72" s="322" t="str">
        <f t="shared" si="19"/>
        <v>-</v>
      </c>
      <c r="J72" s="311" t="str">
        <f t="shared" si="20"/>
        <v>-</v>
      </c>
      <c r="K72" s="322" t="str">
        <f t="shared" si="28"/>
        <v>-</v>
      </c>
      <c r="L72" s="323" t="str">
        <f t="shared" si="21"/>
        <v>-</v>
      </c>
      <c r="M72" s="319" t="str">
        <f>IF($C$16&gt;=B72,(IF(((P72-(J72+(#REF!*-1)+1))&lt;=0),1,((SUM(I$24:$I72)-(SUM($N$23:$N$25)))))),"-")</f>
        <v>-</v>
      </c>
      <c r="N72" s="313" t="str">
        <f>IF($C$16&gt;=B72,(IF((M72&lt;=0),1,((SUM($I$24:I72)-(SUM($N$23:N71)))))),"-")</f>
        <v>-</v>
      </c>
      <c r="O72" s="311" t="str">
        <f t="shared" si="22"/>
        <v>-</v>
      </c>
      <c r="P72" s="312" t="str">
        <f t="shared" si="23"/>
        <v>-</v>
      </c>
      <c r="Q72" s="314" t="str">
        <f t="shared" ref="Q72:Q73" si="29">P72</f>
        <v>-</v>
      </c>
      <c r="S72" s="315" t="str">
        <f t="shared" si="24"/>
        <v>-</v>
      </c>
      <c r="T72" s="228" t="e">
        <f>IF(VALUE(#REF!)=12,TEXT(VALUE(#REF!)+1,"0000"),#REF!)</f>
        <v>#REF!</v>
      </c>
      <c r="U72" s="229" t="e">
        <f>IF(VALUE(#REF!)=12,"01",TEXT(VALUE(#REF!)+1,"00"))</f>
        <v>#REF!</v>
      </c>
      <c r="V72" s="229" t="e">
        <f>#REF!</f>
        <v>#REF!</v>
      </c>
      <c r="Y72" s="316" t="str">
        <f>+'Simulador CUOTA (2)'!H84</f>
        <v>-</v>
      </c>
      <c r="Z72" s="317" t="str">
        <f>+'Simulador CUOTA (2)'!N84</f>
        <v>-</v>
      </c>
      <c r="AA72" s="317" t="str">
        <f>+'Simulador CUOTA (2)'!O84</f>
        <v>-</v>
      </c>
      <c r="AB72" s="317" t="str">
        <f>+'Simulador CUOTA (2)'!P84</f>
        <v>-</v>
      </c>
      <c r="AC72" s="318" t="str">
        <f t="shared" si="17"/>
        <v>-</v>
      </c>
    </row>
    <row r="73" spans="2:29" hidden="1">
      <c r="B73" s="320">
        <v>62</v>
      </c>
      <c r="C73" s="321" t="str">
        <f t="shared" si="25"/>
        <v>-</v>
      </c>
      <c r="D73" s="356" t="str">
        <f>IF($C$16&gt;=B73,(VLOOKUP(C73,Hoja1!V:Y,4,0)),"-")</f>
        <v>-</v>
      </c>
      <c r="E73" s="321" t="str">
        <f t="shared" ref="E73" si="30">IF($C$16&gt;=B73,D73-D72,"-")</f>
        <v>-</v>
      </c>
      <c r="F73" s="309" t="str">
        <f t="shared" si="26"/>
        <v>-</v>
      </c>
      <c r="G73" s="310" t="str">
        <f t="shared" si="18"/>
        <v>-</v>
      </c>
      <c r="H73" s="322" t="str">
        <f t="shared" si="27"/>
        <v>-</v>
      </c>
      <c r="I73" s="322" t="str">
        <f t="shared" si="19"/>
        <v>-</v>
      </c>
      <c r="J73" s="311" t="str">
        <f t="shared" si="20"/>
        <v>-</v>
      </c>
      <c r="K73" s="322" t="str">
        <f t="shared" si="28"/>
        <v>-</v>
      </c>
      <c r="L73" s="323" t="str">
        <f t="shared" si="21"/>
        <v>-</v>
      </c>
      <c r="M73" s="319" t="str">
        <f>IF($C$16&gt;=B73,(IF(((P73-(J73+(I72*-1)+1))&lt;=0),1,((SUM(I$24:$I73)-(SUM($N$23:$N$25)))))),"-")</f>
        <v>-</v>
      </c>
      <c r="N73" s="313" t="str">
        <f>IF($C$16&gt;=B73,(IF((M73&lt;=0),1,((SUM($I$24:I73)-(SUM($N$23:N72)))))),"-")</f>
        <v>-</v>
      </c>
      <c r="O73" s="311" t="str">
        <f t="shared" si="22"/>
        <v>-</v>
      </c>
      <c r="P73" s="312" t="str">
        <f t="shared" si="23"/>
        <v>-</v>
      </c>
      <c r="Q73" s="314" t="str">
        <f t="shared" si="29"/>
        <v>-</v>
      </c>
      <c r="S73" s="315" t="str">
        <f t="shared" si="24"/>
        <v>-</v>
      </c>
      <c r="T73" s="228" t="e">
        <f t="shared" ref="T73" si="31">IF(VALUE(U72)=12,TEXT(VALUE(T72)+1,"0000"),T72)</f>
        <v>#REF!</v>
      </c>
      <c r="U73" s="229" t="e">
        <f t="shared" si="13"/>
        <v>#REF!</v>
      </c>
      <c r="V73" s="229" t="e">
        <f t="shared" si="14"/>
        <v>#REF!</v>
      </c>
      <c r="Y73" s="316" t="str">
        <f>+'Simulador CUOTA (2)'!H85</f>
        <v>-</v>
      </c>
      <c r="Z73" s="317" t="str">
        <f>+'Simulador CUOTA (2)'!N85</f>
        <v>-</v>
      </c>
      <c r="AA73" s="317" t="str">
        <f>+'Simulador CUOTA (2)'!O85</f>
        <v>-</v>
      </c>
      <c r="AB73" s="317" t="str">
        <f>+'Simulador CUOTA (2)'!P85</f>
        <v>-</v>
      </c>
      <c r="AC73" s="318" t="str">
        <f t="shared" si="17"/>
        <v>-</v>
      </c>
    </row>
    <row r="74" spans="2:29" hidden="1">
      <c r="B74" s="320"/>
      <c r="C74" s="324"/>
      <c r="D74" s="357"/>
      <c r="E74" s="324"/>
      <c r="F74" s="325"/>
      <c r="G74" s="326"/>
      <c r="H74" s="327"/>
      <c r="I74" s="328"/>
      <c r="J74" s="328"/>
      <c r="K74" s="328"/>
      <c r="L74" s="329"/>
      <c r="M74" s="317"/>
      <c r="N74" s="330"/>
      <c r="O74" s="328"/>
      <c r="P74" s="329"/>
      <c r="Q74" s="314"/>
      <c r="S74" s="315"/>
      <c r="Y74" s="316" t="str">
        <f>+'Simulador CUOTA (2)'!H86</f>
        <v>-</v>
      </c>
      <c r="Z74" s="317" t="str">
        <f>+'Simulador CUOTA (2)'!N86</f>
        <v>-</v>
      </c>
      <c r="AA74" s="317" t="str">
        <f>+'Simulador CUOTA (2)'!O86</f>
        <v>-</v>
      </c>
      <c r="AB74" s="317" t="str">
        <f>+'Simulador CUOTA (2)'!P86</f>
        <v>-</v>
      </c>
      <c r="AC74" s="318" t="str">
        <f t="shared" si="17"/>
        <v>-</v>
      </c>
    </row>
    <row r="75" spans="2:29">
      <c r="B75" s="331"/>
      <c r="C75" s="353"/>
      <c r="D75" s="358"/>
      <c r="E75" s="349">
        <f ca="1">SUM(E24:E74)</f>
        <v>1462</v>
      </c>
      <c r="F75" s="348"/>
      <c r="G75" s="346">
        <f ca="1">SUM(G24:G74)</f>
        <v>32.641717548999999</v>
      </c>
      <c r="H75" s="348"/>
      <c r="I75" s="347">
        <f ca="1">SUM(I24:I74)</f>
        <v>10900.209751876802</v>
      </c>
      <c r="J75" s="347">
        <f ca="1">SUM(J24:J74)</f>
        <v>5128.4302481231989</v>
      </c>
      <c r="K75" s="347">
        <f ca="1">SUM(K24:K74)</f>
        <v>16028.640000000009</v>
      </c>
      <c r="L75" s="350"/>
      <c r="M75" s="350"/>
      <c r="N75" s="347">
        <f ca="1">SUM(N24:N74)</f>
        <v>10900.209751876802</v>
      </c>
      <c r="O75" s="347">
        <f t="shared" ref="O75:P75" ca="1" si="32">SUM(O24:O74)</f>
        <v>5128.4302481232016</v>
      </c>
      <c r="P75" s="351">
        <f t="shared" ca="1" si="32"/>
        <v>16028.640000000009</v>
      </c>
      <c r="Q75" s="332"/>
      <c r="Y75" s="333">
        <f>+'Simulador CUOTA (2)'!H87</f>
        <v>0</v>
      </c>
      <c r="Z75" s="333">
        <f ca="1">+'Simulador CUOTA (2)'!N87</f>
        <v>10900.209751876801</v>
      </c>
      <c r="AA75" s="333">
        <f ca="1">+'Simulador CUOTA (2)'!O87</f>
        <v>4233.5502481231961</v>
      </c>
      <c r="AB75" s="333">
        <f ca="1">+'Simulador CUOTA (2)'!P87</f>
        <v>15133.760000000017</v>
      </c>
      <c r="AC75" s="333">
        <f ca="1">+SUM(AC24:AC71)</f>
        <v>894.8799999999992</v>
      </c>
    </row>
    <row r="76" spans="2:29" hidden="1">
      <c r="P76" s="314"/>
      <c r="Q76" s="332"/>
    </row>
    <row r="77" spans="2:29">
      <c r="B77" s="227" t="s">
        <v>44</v>
      </c>
    </row>
    <row r="78" spans="2:29" ht="10.5" customHeight="1">
      <c r="B78" s="352"/>
      <c r="C78" s="352"/>
      <c r="D78" s="352"/>
      <c r="E78" s="352"/>
      <c r="F78" s="352"/>
      <c r="G78" s="352"/>
      <c r="H78" s="352"/>
      <c r="I78" s="352"/>
      <c r="J78" s="352"/>
      <c r="K78" s="352"/>
      <c r="L78" s="352"/>
      <c r="M78" s="352"/>
      <c r="N78" s="352"/>
      <c r="O78" s="352"/>
      <c r="P78" s="352"/>
    </row>
    <row r="79" spans="2:29">
      <c r="B79" s="352"/>
      <c r="C79" s="352"/>
      <c r="D79" s="352"/>
      <c r="E79" s="352"/>
      <c r="F79" s="352"/>
      <c r="G79" s="352"/>
      <c r="H79" s="352"/>
      <c r="I79" s="352"/>
      <c r="J79" s="352"/>
      <c r="K79" s="352"/>
      <c r="L79" s="352"/>
      <c r="M79" s="352"/>
      <c r="N79" s="352"/>
      <c r="O79" s="352"/>
      <c r="P79" s="352"/>
    </row>
    <row r="80" spans="2:29">
      <c r="B80" s="352"/>
      <c r="C80" s="352"/>
      <c r="D80" s="352"/>
      <c r="E80" s="352"/>
      <c r="F80" s="352"/>
      <c r="G80" s="352"/>
      <c r="H80" s="352"/>
      <c r="I80" s="352"/>
      <c r="J80" s="352"/>
      <c r="K80" s="352"/>
      <c r="L80" s="352"/>
      <c r="M80" s="352"/>
      <c r="N80" s="352"/>
      <c r="O80" s="352"/>
      <c r="P80" s="352"/>
    </row>
    <row r="81" spans="2:16" ht="0.6" customHeight="1">
      <c r="B81" s="352"/>
      <c r="C81" s="352"/>
      <c r="D81" s="352"/>
      <c r="E81" s="352"/>
      <c r="F81" s="352"/>
      <c r="G81" s="352"/>
      <c r="H81" s="352"/>
      <c r="I81" s="352"/>
      <c r="J81" s="352"/>
      <c r="K81" s="352"/>
      <c r="L81" s="352"/>
      <c r="M81" s="352"/>
      <c r="N81" s="352"/>
      <c r="O81" s="352"/>
      <c r="P81" s="352"/>
    </row>
    <row r="82" spans="2:16">
      <c r="B82" s="352"/>
      <c r="C82" s="352"/>
      <c r="D82" s="352"/>
      <c r="E82" s="352"/>
      <c r="F82" s="352"/>
      <c r="G82" s="352"/>
      <c r="H82" s="352"/>
      <c r="I82" s="352"/>
      <c r="J82" s="352"/>
      <c r="K82" s="352"/>
      <c r="L82" s="352"/>
      <c r="M82" s="352"/>
      <c r="N82" s="352"/>
      <c r="O82" s="352"/>
      <c r="P82" s="352"/>
    </row>
    <row r="83" spans="2:16">
      <c r="B83" s="352"/>
      <c r="C83" s="352"/>
      <c r="D83" s="352"/>
      <c r="E83" s="352"/>
      <c r="F83" s="352"/>
      <c r="G83" s="352"/>
      <c r="H83" s="352"/>
      <c r="I83" s="352"/>
      <c r="J83" s="352"/>
      <c r="K83" s="352"/>
      <c r="L83" s="352"/>
      <c r="M83" s="352"/>
      <c r="N83" s="352"/>
      <c r="O83" s="352"/>
      <c r="P83" s="352"/>
    </row>
    <row r="84" spans="2:16">
      <c r="B84" s="352"/>
      <c r="C84" s="352"/>
      <c r="D84" s="352"/>
      <c r="E84" s="352"/>
      <c r="F84" s="352"/>
      <c r="G84" s="352"/>
      <c r="H84" s="352"/>
      <c r="I84" s="352"/>
      <c r="J84" s="352"/>
      <c r="K84" s="352"/>
      <c r="L84" s="352"/>
      <c r="M84" s="352"/>
      <c r="N84" s="352"/>
      <c r="O84" s="352"/>
      <c r="P84" s="352"/>
    </row>
    <row r="85" spans="2:16"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</row>
    <row r="86" spans="2:16">
      <c r="B86" s="352"/>
      <c r="C86" s="352"/>
      <c r="D86" s="352"/>
      <c r="E86" s="352"/>
      <c r="F86" s="352"/>
      <c r="G86" s="352"/>
      <c r="H86" s="352"/>
      <c r="I86" s="352"/>
      <c r="J86" s="352"/>
      <c r="K86" s="352"/>
      <c r="L86" s="352"/>
      <c r="M86" s="352"/>
      <c r="N86" s="352"/>
      <c r="O86" s="352"/>
      <c r="P86" s="352"/>
    </row>
    <row r="87" spans="2:16">
      <c r="B87" s="352"/>
      <c r="C87" s="352"/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2"/>
      <c r="O87" s="352"/>
      <c r="P87" s="352"/>
    </row>
    <row r="88" spans="2:16">
      <c r="B88" s="352"/>
      <c r="C88" s="352"/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2"/>
      <c r="O88" s="352"/>
      <c r="P88" s="352"/>
    </row>
    <row r="89" spans="2:16">
      <c r="B89" s="352"/>
      <c r="C89" s="352"/>
      <c r="D89" s="352"/>
      <c r="E89" s="352"/>
      <c r="F89" s="352"/>
      <c r="G89" s="352"/>
      <c r="H89" s="352"/>
      <c r="I89" s="352"/>
      <c r="J89" s="352"/>
      <c r="K89" s="352"/>
      <c r="L89" s="352"/>
      <c r="M89" s="352"/>
      <c r="N89" s="352"/>
      <c r="O89" s="352"/>
      <c r="P89" s="352"/>
    </row>
    <row r="90" spans="2:16">
      <c r="B90" s="352"/>
      <c r="C90" s="352"/>
      <c r="D90" s="352"/>
      <c r="E90" s="352"/>
      <c r="F90" s="352"/>
      <c r="G90" s="352"/>
      <c r="H90" s="352"/>
      <c r="I90" s="352"/>
      <c r="J90" s="352"/>
      <c r="K90" s="352"/>
      <c r="L90" s="352"/>
      <c r="M90" s="352"/>
      <c r="N90" s="352"/>
      <c r="O90" s="352"/>
      <c r="P90" s="352"/>
    </row>
    <row r="91" spans="2:16">
      <c r="B91" s="352"/>
      <c r="C91" s="352"/>
      <c r="D91" s="352"/>
      <c r="E91" s="352"/>
      <c r="F91" s="352"/>
      <c r="G91" s="352"/>
      <c r="H91" s="352"/>
      <c r="I91" s="352"/>
      <c r="J91" s="352"/>
      <c r="K91" s="352"/>
      <c r="L91" s="352"/>
      <c r="M91" s="352"/>
      <c r="N91" s="352"/>
      <c r="O91" s="352"/>
      <c r="P91" s="352"/>
    </row>
    <row r="92" spans="2:16">
      <c r="B92" s="352"/>
      <c r="C92" s="352"/>
      <c r="D92" s="352"/>
      <c r="E92" s="352"/>
      <c r="F92" s="352"/>
      <c r="G92" s="352"/>
      <c r="H92" s="352"/>
      <c r="I92" s="352"/>
      <c r="J92" s="352"/>
      <c r="K92" s="352"/>
      <c r="L92" s="352"/>
      <c r="M92" s="352"/>
      <c r="N92" s="352"/>
      <c r="O92" s="352"/>
      <c r="P92" s="352"/>
    </row>
    <row r="93" spans="2:16">
      <c r="B93" s="352"/>
      <c r="C93" s="352"/>
      <c r="D93" s="352"/>
      <c r="E93" s="352"/>
      <c r="F93" s="352"/>
      <c r="G93" s="352"/>
      <c r="H93" s="352"/>
      <c r="I93" s="352"/>
      <c r="J93" s="352"/>
      <c r="K93" s="352"/>
      <c r="L93" s="352"/>
      <c r="M93" s="352"/>
      <c r="N93" s="352"/>
      <c r="O93" s="352"/>
      <c r="P93" s="352"/>
    </row>
    <row r="94" spans="2:16">
      <c r="B94" s="352"/>
      <c r="C94" s="352"/>
      <c r="D94" s="352"/>
      <c r="E94" s="352"/>
      <c r="F94" s="352"/>
      <c r="G94" s="352"/>
      <c r="H94" s="352"/>
      <c r="I94" s="352"/>
      <c r="J94" s="352"/>
      <c r="K94" s="352"/>
      <c r="L94" s="352"/>
      <c r="M94" s="352"/>
      <c r="N94" s="352"/>
      <c r="O94" s="352"/>
      <c r="P94" s="352"/>
    </row>
    <row r="95" spans="2:16" hidden="1">
      <c r="B95" s="352"/>
      <c r="C95" s="352"/>
      <c r="D95" s="352"/>
      <c r="E95" s="352"/>
      <c r="F95" s="352"/>
      <c r="G95" s="352"/>
      <c r="H95" s="352"/>
      <c r="I95" s="352"/>
      <c r="J95" s="352"/>
      <c r="K95" s="352"/>
      <c r="L95" s="352"/>
      <c r="M95" s="352"/>
      <c r="N95" s="352"/>
      <c r="O95" s="352"/>
      <c r="P95" s="352"/>
    </row>
    <row r="96" spans="2:16" hidden="1">
      <c r="B96" s="352"/>
      <c r="C96" s="352"/>
      <c r="D96" s="352"/>
      <c r="E96" s="352"/>
      <c r="F96" s="352"/>
      <c r="G96" s="352"/>
      <c r="H96" s="352"/>
      <c r="I96" s="352"/>
      <c r="J96" s="352"/>
      <c r="K96" s="352"/>
      <c r="L96" s="352"/>
      <c r="M96" s="352"/>
      <c r="N96" s="352"/>
      <c r="O96" s="352"/>
      <c r="P96" s="352"/>
    </row>
    <row r="97" spans="2:16" hidden="1">
      <c r="B97" s="352"/>
      <c r="C97" s="352"/>
      <c r="D97" s="352"/>
      <c r="E97" s="352"/>
      <c r="F97" s="352"/>
      <c r="G97" s="352"/>
      <c r="H97" s="352"/>
      <c r="I97" s="352"/>
      <c r="J97" s="352"/>
      <c r="K97" s="352"/>
      <c r="L97" s="352"/>
      <c r="M97" s="352"/>
      <c r="N97" s="352"/>
      <c r="O97" s="352"/>
      <c r="P97" s="352"/>
    </row>
    <row r="98" spans="2:16" hidden="1">
      <c r="B98" s="352"/>
      <c r="C98" s="352"/>
      <c r="D98" s="352"/>
      <c r="E98" s="352"/>
      <c r="F98" s="352"/>
      <c r="G98" s="352"/>
      <c r="H98" s="352"/>
      <c r="I98" s="352"/>
      <c r="J98" s="352"/>
      <c r="K98" s="352"/>
      <c r="L98" s="352"/>
      <c r="M98" s="352"/>
      <c r="N98" s="352"/>
      <c r="O98" s="352"/>
      <c r="P98" s="352"/>
    </row>
    <row r="99" spans="2:16" hidden="1">
      <c r="B99" s="352"/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</row>
    <row r="100" spans="2:16" hidden="1">
      <c r="B100" s="352"/>
      <c r="C100" s="352"/>
      <c r="D100" s="352"/>
      <c r="E100" s="352"/>
      <c r="F100" s="352"/>
      <c r="G100" s="352"/>
      <c r="H100" s="352"/>
      <c r="I100" s="352"/>
      <c r="J100" s="352"/>
      <c r="K100" s="352"/>
      <c r="L100" s="352"/>
      <c r="M100" s="352"/>
      <c r="N100" s="352"/>
      <c r="O100" s="352"/>
      <c r="P100" s="352"/>
    </row>
    <row r="101" spans="2:16" hidden="1">
      <c r="B101" s="352"/>
      <c r="C101" s="352"/>
      <c r="D101" s="352"/>
      <c r="E101" s="352"/>
      <c r="F101" s="352"/>
      <c r="G101" s="352"/>
      <c r="H101" s="352"/>
      <c r="I101" s="352"/>
      <c r="J101" s="352"/>
      <c r="K101" s="352"/>
      <c r="L101" s="352"/>
      <c r="M101" s="352"/>
      <c r="N101" s="352"/>
      <c r="O101" s="352"/>
      <c r="P101" s="352"/>
    </row>
    <row r="102" spans="2:16" hidden="1">
      <c r="B102" s="352"/>
      <c r="C102" s="352"/>
      <c r="D102" s="352"/>
      <c r="E102" s="352"/>
      <c r="F102" s="352"/>
      <c r="G102" s="352"/>
      <c r="H102" s="352"/>
      <c r="I102" s="352"/>
      <c r="J102" s="352"/>
      <c r="K102" s="352"/>
      <c r="L102" s="352"/>
      <c r="M102" s="352"/>
      <c r="N102" s="352"/>
      <c r="O102" s="352"/>
      <c r="P102" s="352"/>
    </row>
    <row r="103" spans="2:16" hidden="1">
      <c r="B103" s="352"/>
      <c r="C103" s="352"/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2"/>
      <c r="P103" s="352"/>
    </row>
    <row r="104" spans="2:16" hidden="1">
      <c r="B104" s="352"/>
      <c r="C104" s="352"/>
      <c r="D104" s="352"/>
      <c r="E104" s="352"/>
      <c r="F104" s="352"/>
      <c r="G104" s="352"/>
      <c r="H104" s="352"/>
      <c r="I104" s="352"/>
      <c r="J104" s="352"/>
      <c r="K104" s="352"/>
      <c r="L104" s="352"/>
      <c r="M104" s="352"/>
      <c r="N104" s="352"/>
      <c r="O104" s="352"/>
      <c r="P104" s="352"/>
    </row>
    <row r="105" spans="2:16" hidden="1">
      <c r="B105" s="352"/>
      <c r="C105" s="352"/>
      <c r="D105" s="352"/>
      <c r="E105" s="352"/>
      <c r="F105" s="352"/>
      <c r="G105" s="352"/>
      <c r="H105" s="352"/>
      <c r="I105" s="352"/>
      <c r="J105" s="352"/>
      <c r="K105" s="352"/>
      <c r="L105" s="352"/>
      <c r="M105" s="352"/>
      <c r="N105" s="352"/>
      <c r="O105" s="352"/>
      <c r="P105" s="352"/>
    </row>
    <row r="106" spans="2:16" hidden="1">
      <c r="B106" s="352"/>
      <c r="C106" s="352"/>
      <c r="D106" s="352"/>
      <c r="E106" s="352"/>
      <c r="F106" s="352"/>
      <c r="G106" s="352"/>
      <c r="H106" s="352"/>
      <c r="I106" s="352"/>
      <c r="J106" s="352"/>
      <c r="K106" s="352"/>
      <c r="L106" s="352"/>
      <c r="M106" s="352"/>
      <c r="N106" s="352"/>
      <c r="O106" s="352"/>
      <c r="P106" s="352"/>
    </row>
    <row r="107" spans="2:16" hidden="1">
      <c r="B107" s="352"/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</row>
    <row r="108" spans="2:16" hidden="1">
      <c r="B108" s="352"/>
      <c r="C108" s="352"/>
      <c r="D108" s="352"/>
      <c r="E108" s="352"/>
      <c r="F108" s="352"/>
      <c r="G108" s="352"/>
      <c r="H108" s="352"/>
      <c r="I108" s="352"/>
      <c r="J108" s="352"/>
      <c r="K108" s="352"/>
      <c r="L108" s="352"/>
      <c r="M108" s="352"/>
      <c r="N108" s="352"/>
      <c r="O108" s="352"/>
      <c r="P108" s="352"/>
    </row>
    <row r="109" spans="2:16" hidden="1"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</row>
    <row r="110" spans="2:16" hidden="1">
      <c r="B110" s="352"/>
      <c r="C110" s="352"/>
      <c r="D110" s="352"/>
      <c r="E110" s="352"/>
      <c r="F110" s="352"/>
      <c r="G110" s="352"/>
      <c r="H110" s="352"/>
      <c r="I110" s="352"/>
      <c r="J110" s="352"/>
      <c r="K110" s="352"/>
      <c r="L110" s="352"/>
      <c r="M110" s="352"/>
      <c r="N110" s="352"/>
      <c r="O110" s="352"/>
      <c r="P110" s="352"/>
    </row>
    <row r="111" spans="2:16" hidden="1">
      <c r="B111" s="352"/>
      <c r="C111" s="352"/>
      <c r="D111" s="352"/>
      <c r="E111" s="352"/>
      <c r="F111" s="352"/>
      <c r="G111" s="352"/>
      <c r="H111" s="352"/>
      <c r="I111" s="352"/>
      <c r="J111" s="352"/>
      <c r="K111" s="352"/>
      <c r="L111" s="352"/>
      <c r="M111" s="352"/>
      <c r="N111" s="352"/>
      <c r="O111" s="352"/>
      <c r="P111" s="352"/>
    </row>
    <row r="112" spans="2:16" hidden="1">
      <c r="B112" s="352"/>
      <c r="C112" s="352"/>
      <c r="D112" s="352"/>
      <c r="E112" s="352"/>
      <c r="F112" s="352"/>
      <c r="G112" s="352"/>
      <c r="H112" s="352"/>
      <c r="I112" s="352"/>
      <c r="J112" s="352"/>
      <c r="K112" s="352"/>
      <c r="L112" s="352"/>
      <c r="M112" s="352"/>
      <c r="N112" s="352"/>
      <c r="O112" s="352"/>
      <c r="P112" s="352"/>
    </row>
    <row r="113" spans="2:16" hidden="1">
      <c r="B113" s="352"/>
      <c r="C113" s="352"/>
      <c r="D113" s="352"/>
      <c r="E113" s="352"/>
      <c r="F113" s="352"/>
      <c r="G113" s="352"/>
      <c r="H113" s="352"/>
      <c r="I113" s="352"/>
      <c r="J113" s="352"/>
      <c r="K113" s="352"/>
      <c r="L113" s="352"/>
      <c r="M113" s="352"/>
      <c r="N113" s="352"/>
      <c r="O113" s="352"/>
      <c r="P113" s="352"/>
    </row>
    <row r="114" spans="2:16" hidden="1">
      <c r="B114" s="352"/>
      <c r="C114" s="352"/>
      <c r="D114" s="352"/>
      <c r="E114" s="352"/>
      <c r="F114" s="352"/>
      <c r="G114" s="352"/>
      <c r="H114" s="352"/>
      <c r="I114" s="352"/>
      <c r="J114" s="352"/>
      <c r="K114" s="352"/>
      <c r="L114" s="352"/>
      <c r="M114" s="352"/>
      <c r="N114" s="352"/>
      <c r="O114" s="352"/>
      <c r="P114" s="352"/>
    </row>
    <row r="115" spans="2:16" hidden="1">
      <c r="B115" s="352"/>
      <c r="C115" s="352"/>
      <c r="D115" s="352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</row>
    <row r="116" spans="2:16" hidden="1">
      <c r="B116" s="352"/>
      <c r="C116" s="352"/>
      <c r="D116" s="352"/>
      <c r="E116" s="352"/>
      <c r="F116" s="352"/>
      <c r="G116" s="352"/>
      <c r="H116" s="352"/>
      <c r="I116" s="352"/>
      <c r="J116" s="352"/>
      <c r="K116" s="352"/>
      <c r="L116" s="352"/>
      <c r="M116" s="352"/>
      <c r="N116" s="352"/>
      <c r="O116" s="352"/>
      <c r="P116" s="352"/>
    </row>
    <row r="117" spans="2:16" hidden="1">
      <c r="B117" s="352"/>
      <c r="C117" s="352"/>
      <c r="D117" s="352"/>
      <c r="E117" s="352"/>
      <c r="F117" s="352"/>
      <c r="G117" s="352"/>
      <c r="H117" s="352"/>
      <c r="I117" s="352"/>
      <c r="J117" s="352"/>
      <c r="K117" s="352"/>
      <c r="L117" s="352"/>
      <c r="M117" s="352"/>
      <c r="N117" s="352"/>
      <c r="O117" s="352"/>
      <c r="P117" s="352"/>
    </row>
    <row r="118" spans="2:16" hidden="1">
      <c r="B118" s="352"/>
      <c r="C118" s="352"/>
      <c r="D118" s="352"/>
      <c r="E118" s="352"/>
      <c r="F118" s="352"/>
      <c r="G118" s="352"/>
      <c r="H118" s="352"/>
      <c r="I118" s="352"/>
      <c r="J118" s="352"/>
      <c r="K118" s="352"/>
      <c r="L118" s="352"/>
      <c r="M118" s="352"/>
      <c r="N118" s="352"/>
      <c r="O118" s="352"/>
      <c r="P118" s="352"/>
    </row>
    <row r="119" spans="2:16" hidden="1">
      <c r="B119" s="352"/>
      <c r="C119" s="352"/>
      <c r="D119" s="352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2"/>
      <c r="P119" s="352"/>
    </row>
    <row r="120" spans="2:16" hidden="1">
      <c r="B120" s="352"/>
      <c r="C120" s="352"/>
      <c r="D120" s="352"/>
      <c r="E120" s="352"/>
      <c r="F120" s="352"/>
      <c r="G120" s="352"/>
      <c r="H120" s="352"/>
      <c r="I120" s="352"/>
      <c r="J120" s="352"/>
      <c r="K120" s="352"/>
      <c r="L120" s="352"/>
      <c r="M120" s="352"/>
      <c r="N120" s="352"/>
      <c r="O120" s="352"/>
      <c r="P120" s="352"/>
    </row>
    <row r="121" spans="2:16" hidden="1">
      <c r="B121" s="352"/>
      <c r="C121" s="352"/>
      <c r="D121" s="352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2"/>
      <c r="P121" s="352"/>
    </row>
    <row r="122" spans="2:16" hidden="1">
      <c r="B122" s="352"/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</row>
    <row r="123" spans="2:16" hidden="1">
      <c r="B123" s="352"/>
      <c r="C123" s="352"/>
      <c r="D123" s="352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</row>
  </sheetData>
  <mergeCells count="11">
    <mergeCell ref="B2:AC2"/>
    <mergeCell ref="B4:O4"/>
    <mergeCell ref="B5:O5"/>
    <mergeCell ref="B9:P9"/>
    <mergeCell ref="B21:P21"/>
    <mergeCell ref="B8:L8"/>
    <mergeCell ref="Y9:AC9"/>
    <mergeCell ref="AB16:AB17"/>
    <mergeCell ref="AC16:AC17"/>
    <mergeCell ref="Y11:Z11"/>
    <mergeCell ref="D17:D18"/>
  </mergeCells>
  <dataValidations count="1">
    <dataValidation type="whole" allowBlank="1" showErrorMessage="1" errorTitle="Error Plazo" error="Ingres un Plazo entre 2 y 48 meses." prompt="Ingrese un Plazo entre 2 y 60 meses_x000a_" sqref="C16" xr:uid="{00000000-0002-0000-0000-000000000000}">
      <formula1>2</formula1>
      <formula2>48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50"/>
  <sheetViews>
    <sheetView workbookViewId="0"/>
  </sheetViews>
  <sheetFormatPr baseColWidth="10" defaultColWidth="10.88671875" defaultRowHeight="14.4"/>
  <cols>
    <col min="1" max="5" width="10.88671875" style="72"/>
    <col min="6" max="6" width="11.109375" style="72" customWidth="1"/>
    <col min="7" max="7" width="10.88671875" style="72"/>
    <col min="8" max="8" width="11.88671875" style="72" customWidth="1"/>
    <col min="9" max="11" width="10.88671875" style="72"/>
    <col min="12" max="12" width="26.88671875" style="72" customWidth="1"/>
    <col min="13" max="13" width="11.44140625" style="72"/>
    <col min="14" max="21" width="10.88671875" style="72"/>
    <col min="22" max="22" width="11.44140625" style="72" customWidth="1"/>
    <col min="23" max="16384" width="10.88671875" style="72"/>
  </cols>
  <sheetData>
    <row r="1" spans="1:24" ht="27.6">
      <c r="A1" s="72" t="s">
        <v>45</v>
      </c>
      <c r="C1" s="73" t="s">
        <v>46</v>
      </c>
      <c r="F1" s="74">
        <f ca="1">+'Simulador CUOTA'!C11</f>
        <v>46234</v>
      </c>
      <c r="H1" s="70" t="s">
        <v>47</v>
      </c>
      <c r="I1" s="70" t="s">
        <v>48</v>
      </c>
      <c r="J1" s="195" t="s">
        <v>32</v>
      </c>
      <c r="K1" s="70" t="s">
        <v>49</v>
      </c>
      <c r="L1" s="70" t="s">
        <v>50</v>
      </c>
      <c r="M1" s="72" t="s">
        <v>51</v>
      </c>
      <c r="N1" s="70" t="s">
        <v>52</v>
      </c>
      <c r="O1" s="70" t="s">
        <v>53</v>
      </c>
      <c r="P1" s="70" t="s">
        <v>54</v>
      </c>
      <c r="Q1" s="70" t="s">
        <v>55</v>
      </c>
      <c r="S1" s="75" t="s">
        <v>56</v>
      </c>
      <c r="T1" s="76" t="s">
        <v>57</v>
      </c>
      <c r="U1" s="77" t="s">
        <v>58</v>
      </c>
      <c r="V1" s="78"/>
      <c r="W1" s="75" t="s">
        <v>56</v>
      </c>
      <c r="X1" s="79" t="s">
        <v>59</v>
      </c>
    </row>
    <row r="2" spans="1:24">
      <c r="A2" s="174" t="s">
        <v>60</v>
      </c>
      <c r="B2" s="175">
        <v>0</v>
      </c>
      <c r="C2" s="4">
        <f t="shared" ref="C2:C14" si="0">E2/100</f>
        <v>0.1255</v>
      </c>
      <c r="E2" s="3">
        <v>12.55</v>
      </c>
      <c r="F2" s="72">
        <f ca="1">+MONTH(F1)</f>
        <v>7</v>
      </c>
      <c r="H2" s="70">
        <v>2</v>
      </c>
      <c r="I2" s="71">
        <v>27</v>
      </c>
      <c r="J2" s="70">
        <f t="shared" ref="J2:J5" ca="1" si="1">+$F$2</f>
        <v>7</v>
      </c>
      <c r="K2" s="70">
        <f t="shared" ref="K2:K5" ca="1" si="2">+$F$3</f>
        <v>2026</v>
      </c>
      <c r="L2" s="207">
        <f ca="1">DATE(K2,J2,VLOOKUP(DATE(K2,J2,I2),$V$2:$X$573,2,FALSE))</f>
        <v>46230</v>
      </c>
      <c r="M2" s="207">
        <f ca="1">VLOOKUP(Tabla2[[#This Row],[Columna2]],V1:AB1050,5,0)</f>
        <v>46257</v>
      </c>
      <c r="N2" s="207">
        <f ca="1">+IF(Tabla2[[#This Row],[Columna3]]&gt;=($F$1+30),Tabla2[[#This Row],[Columna2]],EDATE(Tabla2[[#This Row],[Columna2]],1))</f>
        <v>46261</v>
      </c>
      <c r="O2" s="364">
        <f ca="1">+EDATE(Tabla2[[#This Row],[Columna4]],$F$4)</f>
        <v>46261</v>
      </c>
      <c r="P2" s="207">
        <f ca="1">+EDATE(Tabla2[[#This Row],[Columna5]],-1)</f>
        <v>46230</v>
      </c>
      <c r="Q2" s="364">
        <f ca="1">VLOOKUP(Tabla2[[#This Row],[Columna6]],V1:AB1050,5,0)</f>
        <v>46257</v>
      </c>
      <c r="S2" s="71">
        <v>27</v>
      </c>
      <c r="T2" s="80">
        <v>2019</v>
      </c>
      <c r="U2" s="81">
        <v>1</v>
      </c>
      <c r="V2" s="208">
        <f>DATE(T2,U2,S2)</f>
        <v>43492</v>
      </c>
      <c r="W2" s="71">
        <v>27</v>
      </c>
      <c r="X2" s="82" t="s">
        <v>61</v>
      </c>
    </row>
    <row r="3" spans="1:24">
      <c r="A3" s="174" t="s">
        <v>23</v>
      </c>
      <c r="B3" s="175">
        <v>1.8800000000000001E-2</v>
      </c>
      <c r="C3" s="4">
        <f t="shared" si="0"/>
        <v>0.14029999999999998</v>
      </c>
      <c r="E3" s="3">
        <v>14.03</v>
      </c>
      <c r="F3" s="72">
        <f ca="1">+YEAR(F1)</f>
        <v>2026</v>
      </c>
      <c r="H3" s="70">
        <v>9</v>
      </c>
      <c r="I3" s="71">
        <v>7</v>
      </c>
      <c r="J3" s="70">
        <f t="shared" ca="1" si="1"/>
        <v>7</v>
      </c>
      <c r="K3" s="70">
        <f t="shared" ca="1" si="2"/>
        <v>2026</v>
      </c>
      <c r="L3" s="207">
        <f ca="1">DATE(K3,J3,VLOOKUP(DATE(K3,J3,I3),$V$2:$X$573,2,FALSE))</f>
        <v>46210</v>
      </c>
      <c r="M3" s="207">
        <f ca="1">VLOOKUP(Tabla2[[#This Row],[Columna2]],V2:AB1051,5,0)</f>
        <v>46235</v>
      </c>
      <c r="N3" s="207">
        <f ca="1">+IF(Tabla2[[#This Row],[Columna3]]&gt;=($F$1+30),Tabla2[[#This Row],[Columna2]],EDATE(Tabla2[[#This Row],[Columna2]],1))</f>
        <v>46241</v>
      </c>
      <c r="O3" s="364">
        <f ca="1">+EDATE(Tabla2[[#This Row],[Columna4]],$F$4)</f>
        <v>46241</v>
      </c>
      <c r="P3" s="207">
        <f ca="1">+EDATE(Tabla2[[#This Row],[Columna5]],-1)</f>
        <v>46210</v>
      </c>
      <c r="Q3" s="364">
        <f ca="1">VLOOKUP(Tabla2[[#This Row],[Columna6]],V2:AB1051,5,0)</f>
        <v>46235</v>
      </c>
      <c r="S3" s="71">
        <v>7</v>
      </c>
      <c r="T3" s="80">
        <v>2019</v>
      </c>
      <c r="U3" s="81">
        <v>2</v>
      </c>
      <c r="V3" s="208">
        <f t="shared" ref="V3:V66" si="3">DATE(T3,U3,S3)</f>
        <v>43503</v>
      </c>
      <c r="W3" s="71">
        <v>7</v>
      </c>
      <c r="X3" s="82" t="s">
        <v>62</v>
      </c>
    </row>
    <row r="4" spans="1:24">
      <c r="A4" s="174" t="s">
        <v>63</v>
      </c>
      <c r="B4" s="175">
        <v>2.01E-2</v>
      </c>
      <c r="C4" s="4">
        <f t="shared" si="0"/>
        <v>0.15529999999999999</v>
      </c>
      <c r="E4" s="3">
        <v>15.53</v>
      </c>
      <c r="F4" s="200">
        <f>+'Simulador CUOTA'!C18</f>
        <v>0</v>
      </c>
      <c r="H4" s="70">
        <v>18</v>
      </c>
      <c r="I4" s="71">
        <v>16</v>
      </c>
      <c r="J4" s="70">
        <f t="shared" ca="1" si="1"/>
        <v>7</v>
      </c>
      <c r="K4" s="70">
        <f t="shared" ca="1" si="2"/>
        <v>2026</v>
      </c>
      <c r="L4" s="207">
        <f ca="1">DATE(K4,J4,VLOOKUP(DATE(K4,J4,I4),$V$2:$X$573,2,FALSE))</f>
        <v>46219</v>
      </c>
      <c r="M4" s="207">
        <f ca="1">VLOOKUP(Tabla2[[#This Row],[Columna2]],V3:AB1052,5,0)</f>
        <v>46242</v>
      </c>
      <c r="N4" s="207">
        <f ca="1">+IF(Tabla2[[#This Row],[Columna3]]&gt;=($F$1+30),Tabla2[[#This Row],[Columna2]],EDATE(Tabla2[[#This Row],[Columna2]],1))</f>
        <v>46250</v>
      </c>
      <c r="O4" s="364">
        <f ca="1">+EDATE(Tabla2[[#This Row],[Columna4]],$F$4)</f>
        <v>46250</v>
      </c>
      <c r="P4" s="207">
        <f ca="1">+EDATE(Tabla2[[#This Row],[Columna5]],-1)</f>
        <v>46219</v>
      </c>
      <c r="Q4" s="364">
        <f ca="1">VLOOKUP(Tabla2[[#This Row],[Columna6]],V3:AB1052,5,0)</f>
        <v>46242</v>
      </c>
      <c r="S4" s="71">
        <v>16</v>
      </c>
      <c r="T4" s="80">
        <v>2019</v>
      </c>
      <c r="U4" s="81">
        <v>2</v>
      </c>
      <c r="V4" s="208">
        <f t="shared" si="3"/>
        <v>43512</v>
      </c>
      <c r="W4" s="71">
        <v>16</v>
      </c>
      <c r="X4" s="83" t="s">
        <v>64</v>
      </c>
    </row>
    <row r="5" spans="1:24">
      <c r="C5" s="4">
        <f t="shared" si="0"/>
        <v>0.16489999999999999</v>
      </c>
      <c r="E5" s="3">
        <v>16.489999999999998</v>
      </c>
      <c r="H5" s="70">
        <v>25</v>
      </c>
      <c r="I5" s="71">
        <v>23</v>
      </c>
      <c r="J5" s="70">
        <f t="shared" ca="1" si="1"/>
        <v>7</v>
      </c>
      <c r="K5" s="70">
        <f t="shared" ca="1" si="2"/>
        <v>2026</v>
      </c>
      <c r="L5" s="207">
        <f ca="1">DATE(K5,J5,VLOOKUP(DATE(K5,J5,I5),$V$2:$X$573,2,FALSE))</f>
        <v>46226</v>
      </c>
      <c r="M5" s="207">
        <f ca="1">VLOOKUP(Tabla2[[#This Row],[Columna2]],V4:AB1053,5,0)</f>
        <v>46249</v>
      </c>
      <c r="N5" s="207">
        <f ca="1">+IF(Tabla2[[#This Row],[Columna3]]&gt;=($F$1+30),Tabla2[[#This Row],[Columna2]],EDATE(Tabla2[[#This Row],[Columna2]],1))</f>
        <v>46257</v>
      </c>
      <c r="O5" s="364">
        <f ca="1">+EDATE(Tabla2[[#This Row],[Columna4]],$F$4)</f>
        <v>46257</v>
      </c>
      <c r="P5" s="207">
        <f ca="1">+EDATE(Tabla2[[#This Row],[Columna5]],-1)</f>
        <v>46226</v>
      </c>
      <c r="Q5" s="364">
        <f ca="1">VLOOKUP(Tabla2[[#This Row],[Columna6]],V4:AB1053,5,0)</f>
        <v>46249</v>
      </c>
      <c r="S5" s="71">
        <v>23</v>
      </c>
      <c r="T5" s="80">
        <v>2019</v>
      </c>
      <c r="U5" s="81">
        <v>2</v>
      </c>
      <c r="V5" s="208">
        <f t="shared" si="3"/>
        <v>43519</v>
      </c>
      <c r="W5" s="71">
        <v>23</v>
      </c>
      <c r="X5" s="82" t="s">
        <v>65</v>
      </c>
    </row>
    <row r="6" spans="1:24">
      <c r="C6" s="4">
        <f t="shared" si="0"/>
        <v>0.1704</v>
      </c>
      <c r="E6" s="3">
        <v>17.04</v>
      </c>
      <c r="H6" s="70"/>
      <c r="I6" s="206"/>
      <c r="J6" s="195"/>
      <c r="K6" s="70"/>
      <c r="L6" s="70" t="b">
        <f ca="1">+L2&gt;F9</f>
        <v>1</v>
      </c>
      <c r="M6" s="70"/>
      <c r="N6" s="70"/>
      <c r="O6" s="70"/>
      <c r="P6" s="70"/>
      <c r="Q6" s="70"/>
      <c r="R6" s="70"/>
      <c r="S6" s="71">
        <v>27</v>
      </c>
      <c r="T6" s="80">
        <v>2019</v>
      </c>
      <c r="U6" s="81">
        <v>2</v>
      </c>
      <c r="V6" s="208">
        <f t="shared" si="3"/>
        <v>43523</v>
      </c>
      <c r="W6" s="71">
        <v>27</v>
      </c>
      <c r="X6" s="82" t="s">
        <v>66</v>
      </c>
    </row>
    <row r="7" spans="1:24">
      <c r="C7" s="4">
        <f t="shared" si="0"/>
        <v>0.18440000000000001</v>
      </c>
      <c r="E7" s="3">
        <v>18.440000000000001</v>
      </c>
      <c r="L7" s="72" t="b">
        <f ca="1">+L3&gt;F9</f>
        <v>1</v>
      </c>
      <c r="S7" s="71">
        <v>7</v>
      </c>
      <c r="T7" s="80">
        <v>2019</v>
      </c>
      <c r="U7" s="81">
        <v>3</v>
      </c>
      <c r="V7" s="208">
        <f t="shared" si="3"/>
        <v>43531</v>
      </c>
      <c r="W7" s="71">
        <v>7</v>
      </c>
      <c r="X7" s="82" t="s">
        <v>62</v>
      </c>
    </row>
    <row r="8" spans="1:24">
      <c r="C8" s="4">
        <f t="shared" si="0"/>
        <v>0.20980000000000001</v>
      </c>
      <c r="E8" s="3">
        <v>20.98</v>
      </c>
      <c r="H8" s="72">
        <f ca="1">TEXT('Simulador CUOTA'!$C$11,"d")*1</f>
        <v>31</v>
      </c>
      <c r="S8" s="71">
        <v>16</v>
      </c>
      <c r="T8" s="80">
        <v>2019</v>
      </c>
      <c r="U8" s="81">
        <v>3</v>
      </c>
      <c r="V8" s="208">
        <f t="shared" si="3"/>
        <v>43540</v>
      </c>
      <c r="W8" s="71">
        <v>16</v>
      </c>
      <c r="X8" s="83" t="s">
        <v>64</v>
      </c>
    </row>
    <row r="9" spans="1:24">
      <c r="C9" s="4">
        <f t="shared" si="0"/>
        <v>0.22559999999999999</v>
      </c>
      <c r="E9" s="3">
        <v>22.56</v>
      </c>
      <c r="F9" s="74"/>
      <c r="H9" s="72">
        <f>TEXT('Simulador CUOTA'!$P$12,"D")*1</f>
        <v>7</v>
      </c>
      <c r="M9" s="218"/>
      <c r="S9" s="71">
        <v>23</v>
      </c>
      <c r="T9" s="80">
        <v>2019</v>
      </c>
      <c r="U9" s="81">
        <v>3</v>
      </c>
      <c r="V9" s="208">
        <f t="shared" si="3"/>
        <v>43547</v>
      </c>
      <c r="W9" s="71">
        <v>23</v>
      </c>
      <c r="X9" s="83" t="s">
        <v>64</v>
      </c>
    </row>
    <row r="10" spans="1:24">
      <c r="C10" s="4">
        <f t="shared" si="0"/>
        <v>0.25340000000000001</v>
      </c>
      <c r="E10" s="3">
        <v>25.34</v>
      </c>
      <c r="L10" s="72" t="s">
        <v>29</v>
      </c>
      <c r="M10" s="218">
        <v>6.8999999999999999E-3</v>
      </c>
      <c r="S10" s="71">
        <v>27</v>
      </c>
      <c r="T10" s="80">
        <v>2019</v>
      </c>
      <c r="U10" s="81">
        <v>3</v>
      </c>
      <c r="V10" s="208">
        <f t="shared" si="3"/>
        <v>43551</v>
      </c>
      <c r="W10" s="71">
        <v>27</v>
      </c>
      <c r="X10" s="82" t="s">
        <v>66</v>
      </c>
    </row>
    <row r="11" spans="1:24">
      <c r="C11" s="4">
        <f t="shared" si="0"/>
        <v>0.2772</v>
      </c>
      <c r="E11" s="3">
        <v>27.72</v>
      </c>
      <c r="L11" s="72" t="s">
        <v>67</v>
      </c>
      <c r="M11" s="218">
        <v>7.9000000000000008E-3</v>
      </c>
      <c r="S11" s="71">
        <v>7</v>
      </c>
      <c r="T11" s="80">
        <v>2019</v>
      </c>
      <c r="U11" s="81">
        <v>4</v>
      </c>
      <c r="V11" s="208">
        <f t="shared" si="3"/>
        <v>43562</v>
      </c>
      <c r="W11" s="71">
        <v>7</v>
      </c>
      <c r="X11" s="82" t="s">
        <v>61</v>
      </c>
    </row>
    <row r="12" spans="1:24">
      <c r="C12" s="4">
        <f t="shared" si="0"/>
        <v>0.2999</v>
      </c>
      <c r="E12" s="3">
        <v>29.99</v>
      </c>
      <c r="L12" s="72" t="s">
        <v>68</v>
      </c>
      <c r="M12" s="226">
        <v>0</v>
      </c>
      <c r="S12" s="71">
        <v>16</v>
      </c>
      <c r="T12" s="80">
        <v>2019</v>
      </c>
      <c r="U12" s="81">
        <v>4</v>
      </c>
      <c r="V12" s="208">
        <f t="shared" si="3"/>
        <v>43571</v>
      </c>
      <c r="W12" s="71">
        <v>16</v>
      </c>
      <c r="X12" s="82" t="s">
        <v>69</v>
      </c>
    </row>
    <row r="13" spans="1:24">
      <c r="C13" s="4">
        <f t="shared" si="0"/>
        <v>0.34960000000000002</v>
      </c>
      <c r="E13" s="3">
        <v>34.96</v>
      </c>
      <c r="L13" s="72" t="s">
        <v>70</v>
      </c>
      <c r="M13" s="218">
        <v>8.6999999999999994E-2</v>
      </c>
      <c r="S13" s="71">
        <v>23</v>
      </c>
      <c r="T13" s="80">
        <v>2019</v>
      </c>
      <c r="U13" s="81">
        <v>4</v>
      </c>
      <c r="V13" s="208">
        <f t="shared" si="3"/>
        <v>43578</v>
      </c>
      <c r="W13" s="71">
        <v>23</v>
      </c>
      <c r="X13" s="82" t="s">
        <v>69</v>
      </c>
    </row>
    <row r="14" spans="1:24">
      <c r="C14" s="4">
        <f t="shared" si="0"/>
        <v>0.39939999999999998</v>
      </c>
      <c r="E14" s="3">
        <v>39.94</v>
      </c>
      <c r="F14" s="72" t="s">
        <v>25</v>
      </c>
      <c r="G14" s="72">
        <v>0</v>
      </c>
      <c r="H14" s="72">
        <f ca="1">+G14+$F$2</f>
        <v>7</v>
      </c>
      <c r="L14" s="72" t="s">
        <v>71</v>
      </c>
      <c r="M14" s="218">
        <v>0.03</v>
      </c>
      <c r="S14" s="71">
        <v>27</v>
      </c>
      <c r="T14" s="80">
        <v>2019</v>
      </c>
      <c r="U14" s="81">
        <v>4</v>
      </c>
      <c r="V14" s="208">
        <f t="shared" si="3"/>
        <v>43582</v>
      </c>
      <c r="W14" s="71">
        <v>27</v>
      </c>
      <c r="X14" s="83" t="s">
        <v>64</v>
      </c>
    </row>
    <row r="15" spans="1:24">
      <c r="C15" s="4">
        <v>0.442</v>
      </c>
      <c r="F15" s="72" t="s">
        <v>72</v>
      </c>
      <c r="G15" s="72">
        <v>1</v>
      </c>
      <c r="H15" s="72">
        <f ca="1">+G15+H14</f>
        <v>8</v>
      </c>
      <c r="S15" s="71">
        <v>7</v>
      </c>
      <c r="T15" s="80">
        <v>2019</v>
      </c>
      <c r="U15" s="81">
        <v>5</v>
      </c>
      <c r="V15" s="208">
        <f t="shared" si="3"/>
        <v>43592</v>
      </c>
      <c r="W15" s="71">
        <v>7</v>
      </c>
      <c r="X15" s="82" t="s">
        <v>69</v>
      </c>
    </row>
    <row r="16" spans="1:24">
      <c r="C16" s="4"/>
      <c r="F16" s="72" t="s">
        <v>73</v>
      </c>
      <c r="G16" s="72">
        <v>2</v>
      </c>
      <c r="H16" s="72">
        <f t="shared" ref="H16:H20" ca="1" si="4">+G16+H15</f>
        <v>10</v>
      </c>
      <c r="S16" s="71">
        <v>16</v>
      </c>
      <c r="T16" s="80">
        <v>2019</v>
      </c>
      <c r="U16" s="81">
        <v>5</v>
      </c>
      <c r="V16" s="208">
        <f t="shared" si="3"/>
        <v>43601</v>
      </c>
      <c r="W16" s="71">
        <v>16</v>
      </c>
      <c r="X16" s="82" t="s">
        <v>62</v>
      </c>
    </row>
    <row r="17" spans="6:24">
      <c r="F17" s="72" t="s">
        <v>74</v>
      </c>
      <c r="G17" s="72">
        <v>3</v>
      </c>
      <c r="H17" s="72">
        <f ca="1">IF(G17+H16&gt;12,1+G14)</f>
        <v>1</v>
      </c>
      <c r="S17" s="71">
        <v>23</v>
      </c>
      <c r="T17" s="80">
        <v>2019</v>
      </c>
      <c r="U17" s="81">
        <v>5</v>
      </c>
      <c r="V17" s="208">
        <f t="shared" si="3"/>
        <v>43608</v>
      </c>
      <c r="W17" s="71">
        <v>23</v>
      </c>
      <c r="X17" s="82" t="s">
        <v>62</v>
      </c>
    </row>
    <row r="18" spans="6:24">
      <c r="F18" s="72" t="s">
        <v>75</v>
      </c>
      <c r="G18" s="72">
        <v>4</v>
      </c>
      <c r="H18" s="72">
        <f t="shared" ca="1" si="4"/>
        <v>5</v>
      </c>
      <c r="S18" s="71">
        <v>27</v>
      </c>
      <c r="T18" s="80">
        <v>2019</v>
      </c>
      <c r="U18" s="81">
        <v>5</v>
      </c>
      <c r="V18" s="208">
        <f t="shared" si="3"/>
        <v>43612</v>
      </c>
      <c r="W18" s="71">
        <v>27</v>
      </c>
      <c r="X18" s="82" t="s">
        <v>76</v>
      </c>
    </row>
    <row r="19" spans="6:24">
      <c r="F19" s="72" t="s">
        <v>77</v>
      </c>
      <c r="G19" s="72">
        <v>5</v>
      </c>
      <c r="H19" s="72">
        <f t="shared" ca="1" si="4"/>
        <v>10</v>
      </c>
      <c r="S19" s="71">
        <v>7</v>
      </c>
      <c r="T19" s="80">
        <v>2019</v>
      </c>
      <c r="U19" s="81">
        <v>6</v>
      </c>
      <c r="V19" s="208">
        <f t="shared" si="3"/>
        <v>43623</v>
      </c>
      <c r="W19" s="71">
        <v>7</v>
      </c>
      <c r="X19" s="82" t="s">
        <v>64</v>
      </c>
    </row>
    <row r="20" spans="6:24">
      <c r="F20" s="72" t="s">
        <v>78</v>
      </c>
      <c r="G20" s="72">
        <v>6</v>
      </c>
      <c r="H20" s="72">
        <f t="shared" ca="1" si="4"/>
        <v>16</v>
      </c>
      <c r="S20" s="71">
        <v>16</v>
      </c>
      <c r="T20" s="80">
        <v>2019</v>
      </c>
      <c r="U20" s="81">
        <v>6</v>
      </c>
      <c r="V20" s="208">
        <f t="shared" si="3"/>
        <v>43632</v>
      </c>
      <c r="W20" s="71">
        <v>16</v>
      </c>
      <c r="X20" s="82" t="s">
        <v>61</v>
      </c>
    </row>
    <row r="21" spans="6:24">
      <c r="F21" s="72" t="s">
        <v>79</v>
      </c>
      <c r="G21" s="72">
        <v>7</v>
      </c>
      <c r="H21" s="72">
        <f t="shared" ref="H21:H26" ca="1" si="5">+H20-1</f>
        <v>15</v>
      </c>
      <c r="S21" s="71">
        <v>23</v>
      </c>
      <c r="T21" s="80">
        <v>2019</v>
      </c>
      <c r="U21" s="81">
        <v>6</v>
      </c>
      <c r="V21" s="208">
        <f t="shared" si="3"/>
        <v>43639</v>
      </c>
      <c r="W21" s="71">
        <v>23</v>
      </c>
      <c r="X21" s="82" t="s">
        <v>61</v>
      </c>
    </row>
    <row r="22" spans="6:24">
      <c r="F22" s="72" t="s">
        <v>80</v>
      </c>
      <c r="G22" s="72">
        <v>8</v>
      </c>
      <c r="H22" s="72">
        <f t="shared" ca="1" si="5"/>
        <v>14</v>
      </c>
      <c r="S22" s="71">
        <v>27</v>
      </c>
      <c r="T22" s="80">
        <v>2019</v>
      </c>
      <c r="U22" s="81">
        <v>6</v>
      </c>
      <c r="V22" s="208">
        <f t="shared" si="3"/>
        <v>43643</v>
      </c>
      <c r="W22" s="71">
        <v>27</v>
      </c>
      <c r="X22" s="82" t="s">
        <v>62</v>
      </c>
    </row>
    <row r="23" spans="6:24">
      <c r="F23" s="72" t="s">
        <v>81</v>
      </c>
      <c r="G23" s="72">
        <v>9</v>
      </c>
      <c r="H23" s="72">
        <f t="shared" ca="1" si="5"/>
        <v>13</v>
      </c>
      <c r="S23" s="71">
        <v>7</v>
      </c>
      <c r="T23" s="80">
        <v>2019</v>
      </c>
      <c r="U23" s="81">
        <v>7</v>
      </c>
      <c r="V23" s="208">
        <f t="shared" si="3"/>
        <v>43653</v>
      </c>
      <c r="W23" s="71">
        <v>7</v>
      </c>
      <c r="X23" s="82" t="s">
        <v>61</v>
      </c>
    </row>
    <row r="24" spans="6:24">
      <c r="F24" s="72" t="s">
        <v>82</v>
      </c>
      <c r="G24" s="72">
        <v>10</v>
      </c>
      <c r="H24" s="72">
        <f t="shared" ca="1" si="5"/>
        <v>12</v>
      </c>
      <c r="S24" s="71">
        <v>16</v>
      </c>
      <c r="T24" s="80">
        <v>2019</v>
      </c>
      <c r="U24" s="81">
        <v>7</v>
      </c>
      <c r="V24" s="208">
        <f t="shared" si="3"/>
        <v>43662</v>
      </c>
      <c r="W24" s="71">
        <v>16</v>
      </c>
      <c r="X24" s="82" t="s">
        <v>69</v>
      </c>
    </row>
    <row r="25" spans="6:24">
      <c r="F25" s="72" t="s">
        <v>83</v>
      </c>
      <c r="G25" s="72">
        <v>11</v>
      </c>
      <c r="H25" s="72">
        <f t="shared" ca="1" si="5"/>
        <v>11</v>
      </c>
      <c r="S25" s="71">
        <v>23</v>
      </c>
      <c r="T25" s="80">
        <v>2019</v>
      </c>
      <c r="U25" s="81">
        <v>7</v>
      </c>
      <c r="V25" s="208">
        <f t="shared" si="3"/>
        <v>43669</v>
      </c>
      <c r="W25" s="71">
        <v>23</v>
      </c>
      <c r="X25" s="82" t="s">
        <v>69</v>
      </c>
    </row>
    <row r="26" spans="6:24">
      <c r="F26" s="72" t="s">
        <v>84</v>
      </c>
      <c r="G26" s="72">
        <v>12</v>
      </c>
      <c r="H26" s="72">
        <f t="shared" ca="1" si="5"/>
        <v>10</v>
      </c>
      <c r="S26" s="71">
        <v>27</v>
      </c>
      <c r="T26" s="80">
        <v>2019</v>
      </c>
      <c r="U26" s="81">
        <v>7</v>
      </c>
      <c r="V26" s="208">
        <f t="shared" si="3"/>
        <v>43673</v>
      </c>
      <c r="W26" s="71">
        <v>27</v>
      </c>
      <c r="X26" s="83" t="s">
        <v>64</v>
      </c>
    </row>
    <row r="27" spans="6:24">
      <c r="F27" s="72" t="s">
        <v>85</v>
      </c>
      <c r="G27" s="72">
        <v>13</v>
      </c>
      <c r="H27" s="72">
        <f ca="1">+H14</f>
        <v>7</v>
      </c>
      <c r="S27" s="71">
        <v>7</v>
      </c>
      <c r="T27" s="80">
        <v>2019</v>
      </c>
      <c r="U27" s="81">
        <v>8</v>
      </c>
      <c r="V27" s="208">
        <f t="shared" si="3"/>
        <v>43684</v>
      </c>
      <c r="W27" s="71">
        <v>7</v>
      </c>
      <c r="X27" s="82" t="s">
        <v>66</v>
      </c>
    </row>
    <row r="28" spans="6:24">
      <c r="F28" s="72" t="s">
        <v>86</v>
      </c>
      <c r="G28" s="72">
        <v>14</v>
      </c>
      <c r="H28" s="72">
        <f t="shared" ref="H28:H38" ca="1" si="6">+H15</f>
        <v>8</v>
      </c>
      <c r="S28" s="71">
        <v>16</v>
      </c>
      <c r="T28" s="80">
        <v>2019</v>
      </c>
      <c r="U28" s="81">
        <v>8</v>
      </c>
      <c r="V28" s="208">
        <f t="shared" si="3"/>
        <v>43693</v>
      </c>
      <c r="W28" s="71">
        <v>16</v>
      </c>
      <c r="X28" s="82" t="s">
        <v>64</v>
      </c>
    </row>
    <row r="29" spans="6:24">
      <c r="F29" s="72" t="s">
        <v>87</v>
      </c>
      <c r="G29" s="72">
        <v>15</v>
      </c>
      <c r="H29" s="72">
        <f t="shared" ca="1" si="6"/>
        <v>10</v>
      </c>
      <c r="S29" s="71">
        <v>23</v>
      </c>
      <c r="T29" s="80">
        <v>2019</v>
      </c>
      <c r="U29" s="81">
        <v>8</v>
      </c>
      <c r="V29" s="208">
        <f t="shared" si="3"/>
        <v>43700</v>
      </c>
      <c r="W29" s="71">
        <v>23</v>
      </c>
      <c r="X29" s="82" t="s">
        <v>64</v>
      </c>
    </row>
    <row r="30" spans="6:24">
      <c r="F30" s="72" t="s">
        <v>88</v>
      </c>
      <c r="G30" s="72">
        <v>16</v>
      </c>
      <c r="H30" s="72">
        <f t="shared" ca="1" si="6"/>
        <v>1</v>
      </c>
      <c r="S30" s="71">
        <v>27</v>
      </c>
      <c r="T30" s="80">
        <v>2019</v>
      </c>
      <c r="U30" s="81">
        <v>8</v>
      </c>
      <c r="V30" s="208">
        <f t="shared" si="3"/>
        <v>43704</v>
      </c>
      <c r="W30" s="71">
        <v>27</v>
      </c>
      <c r="X30" s="82" t="s">
        <v>69</v>
      </c>
    </row>
    <row r="31" spans="6:24">
      <c r="F31" s="72" t="s">
        <v>89</v>
      </c>
      <c r="G31" s="72">
        <v>17</v>
      </c>
      <c r="H31" s="72">
        <f t="shared" ca="1" si="6"/>
        <v>5</v>
      </c>
      <c r="S31" s="71">
        <v>7</v>
      </c>
      <c r="T31" s="80">
        <v>2019</v>
      </c>
      <c r="U31" s="81">
        <v>9</v>
      </c>
      <c r="V31" s="208">
        <f t="shared" si="3"/>
        <v>43715</v>
      </c>
      <c r="W31" s="71">
        <v>7</v>
      </c>
      <c r="X31" s="83" t="s">
        <v>64</v>
      </c>
    </row>
    <row r="32" spans="6:24">
      <c r="F32" s="72" t="s">
        <v>90</v>
      </c>
      <c r="G32" s="72">
        <v>18</v>
      </c>
      <c r="H32" s="72">
        <f t="shared" ca="1" si="6"/>
        <v>10</v>
      </c>
      <c r="S32" s="71">
        <v>16</v>
      </c>
      <c r="T32" s="80">
        <v>2019</v>
      </c>
      <c r="U32" s="81">
        <v>9</v>
      </c>
      <c r="V32" s="208">
        <f t="shared" si="3"/>
        <v>43724</v>
      </c>
      <c r="W32" s="71">
        <v>16</v>
      </c>
      <c r="X32" s="82" t="s">
        <v>76</v>
      </c>
    </row>
    <row r="33" spans="6:24">
      <c r="F33" s="72" t="s">
        <v>91</v>
      </c>
      <c r="G33" s="72">
        <v>19</v>
      </c>
      <c r="H33" s="72">
        <f t="shared" ca="1" si="6"/>
        <v>16</v>
      </c>
      <c r="S33" s="71">
        <v>23</v>
      </c>
      <c r="T33" s="80">
        <v>2019</v>
      </c>
      <c r="U33" s="81">
        <v>9</v>
      </c>
      <c r="V33" s="208">
        <f t="shared" si="3"/>
        <v>43731</v>
      </c>
      <c r="W33" s="71">
        <v>23</v>
      </c>
      <c r="X33" s="82" t="s">
        <v>76</v>
      </c>
    </row>
    <row r="34" spans="6:24">
      <c r="F34" s="72" t="s">
        <v>92</v>
      </c>
      <c r="G34" s="72">
        <v>20</v>
      </c>
      <c r="H34" s="72">
        <f t="shared" ca="1" si="6"/>
        <v>15</v>
      </c>
      <c r="S34" s="71">
        <v>27</v>
      </c>
      <c r="T34" s="80">
        <v>2019</v>
      </c>
      <c r="U34" s="81">
        <v>9</v>
      </c>
      <c r="V34" s="208">
        <f t="shared" si="3"/>
        <v>43735</v>
      </c>
      <c r="W34" s="71">
        <v>27</v>
      </c>
      <c r="X34" s="82" t="s">
        <v>64</v>
      </c>
    </row>
    <row r="35" spans="6:24">
      <c r="F35" s="72" t="s">
        <v>93</v>
      </c>
      <c r="G35" s="72">
        <v>21</v>
      </c>
      <c r="H35" s="72">
        <f t="shared" ca="1" si="6"/>
        <v>14</v>
      </c>
      <c r="S35" s="71">
        <v>7</v>
      </c>
      <c r="T35" s="80">
        <v>2019</v>
      </c>
      <c r="U35" s="81">
        <v>10</v>
      </c>
      <c r="V35" s="208">
        <f t="shared" si="3"/>
        <v>43745</v>
      </c>
      <c r="W35" s="71">
        <v>7</v>
      </c>
      <c r="X35" s="82" t="s">
        <v>76</v>
      </c>
    </row>
    <row r="36" spans="6:24">
      <c r="F36" s="72" t="s">
        <v>94</v>
      </c>
      <c r="G36" s="72">
        <v>22</v>
      </c>
      <c r="H36" s="72">
        <f t="shared" ca="1" si="6"/>
        <v>13</v>
      </c>
      <c r="S36" s="71">
        <v>16</v>
      </c>
      <c r="T36" s="80">
        <v>2019</v>
      </c>
      <c r="U36" s="81">
        <v>10</v>
      </c>
      <c r="V36" s="208">
        <f t="shared" si="3"/>
        <v>43754</v>
      </c>
      <c r="W36" s="71">
        <v>16</v>
      </c>
      <c r="X36" s="82" t="s">
        <v>66</v>
      </c>
    </row>
    <row r="37" spans="6:24">
      <c r="F37" s="72" t="s">
        <v>95</v>
      </c>
      <c r="G37" s="72">
        <v>23</v>
      </c>
      <c r="H37" s="72">
        <f t="shared" ca="1" si="6"/>
        <v>12</v>
      </c>
      <c r="S37" s="71">
        <v>23</v>
      </c>
      <c r="T37" s="80">
        <v>2019</v>
      </c>
      <c r="U37" s="81">
        <v>10</v>
      </c>
      <c r="V37" s="208">
        <f t="shared" si="3"/>
        <v>43761</v>
      </c>
      <c r="W37" s="71">
        <v>23</v>
      </c>
      <c r="X37" s="82" t="s">
        <v>66</v>
      </c>
    </row>
    <row r="38" spans="6:24">
      <c r="F38" s="72" t="s">
        <v>96</v>
      </c>
      <c r="G38" s="72">
        <v>24</v>
      </c>
      <c r="H38" s="72">
        <f t="shared" ca="1" si="6"/>
        <v>11</v>
      </c>
      <c r="S38" s="71">
        <v>27</v>
      </c>
      <c r="T38" s="80">
        <v>2019</v>
      </c>
      <c r="U38" s="81">
        <v>10</v>
      </c>
      <c r="V38" s="208">
        <f t="shared" si="3"/>
        <v>43765</v>
      </c>
      <c r="W38" s="71">
        <v>27</v>
      </c>
      <c r="X38" s="82" t="s">
        <v>61</v>
      </c>
    </row>
    <row r="39" spans="6:24">
      <c r="S39" s="71">
        <v>7</v>
      </c>
      <c r="T39" s="80">
        <v>2019</v>
      </c>
      <c r="U39" s="81">
        <v>11</v>
      </c>
      <c r="V39" s="208">
        <f t="shared" si="3"/>
        <v>43776</v>
      </c>
      <c r="W39" s="71">
        <v>7</v>
      </c>
      <c r="X39" s="82" t="s">
        <v>62</v>
      </c>
    </row>
    <row r="40" spans="6:24">
      <c r="S40" s="71">
        <v>16</v>
      </c>
      <c r="T40" s="80">
        <v>2019</v>
      </c>
      <c r="U40" s="81">
        <v>11</v>
      </c>
      <c r="V40" s="208">
        <f t="shared" si="3"/>
        <v>43785</v>
      </c>
      <c r="W40" s="71">
        <v>16</v>
      </c>
      <c r="X40" s="83" t="s">
        <v>64</v>
      </c>
    </row>
    <row r="41" spans="6:24">
      <c r="S41" s="71">
        <v>23</v>
      </c>
      <c r="T41" s="80">
        <v>2019</v>
      </c>
      <c r="U41" s="81">
        <v>11</v>
      </c>
      <c r="V41" s="208">
        <f t="shared" si="3"/>
        <v>43792</v>
      </c>
      <c r="W41" s="71">
        <v>23</v>
      </c>
      <c r="X41" s="83" t="s">
        <v>64</v>
      </c>
    </row>
    <row r="42" spans="6:24">
      <c r="S42" s="71">
        <v>27</v>
      </c>
      <c r="T42" s="80">
        <v>2019</v>
      </c>
      <c r="U42" s="81">
        <v>11</v>
      </c>
      <c r="V42" s="208">
        <f t="shared" si="3"/>
        <v>43796</v>
      </c>
      <c r="W42" s="71">
        <v>27</v>
      </c>
      <c r="X42" s="82" t="s">
        <v>66</v>
      </c>
    </row>
    <row r="43" spans="6:24">
      <c r="S43" s="71">
        <v>7</v>
      </c>
      <c r="T43" s="80">
        <v>2019</v>
      </c>
      <c r="U43" s="81">
        <v>12</v>
      </c>
      <c r="V43" s="208">
        <f t="shared" si="3"/>
        <v>43806</v>
      </c>
      <c r="W43" s="71">
        <v>7</v>
      </c>
      <c r="X43" s="83" t="s">
        <v>64</v>
      </c>
    </row>
    <row r="44" spans="6:24">
      <c r="S44" s="71">
        <v>16</v>
      </c>
      <c r="T44" s="80">
        <v>2019</v>
      </c>
      <c r="U44" s="81">
        <v>12</v>
      </c>
      <c r="V44" s="208">
        <f t="shared" si="3"/>
        <v>43815</v>
      </c>
      <c r="W44" s="71">
        <v>16</v>
      </c>
      <c r="X44" s="82" t="s">
        <v>76</v>
      </c>
    </row>
    <row r="45" spans="6:24">
      <c r="S45" s="71">
        <v>23</v>
      </c>
      <c r="T45" s="80">
        <v>2019</v>
      </c>
      <c r="U45" s="81">
        <v>12</v>
      </c>
      <c r="V45" s="208">
        <f t="shared" si="3"/>
        <v>43822</v>
      </c>
      <c r="W45" s="71">
        <v>23</v>
      </c>
      <c r="X45" s="82" t="s">
        <v>76</v>
      </c>
    </row>
    <row r="46" spans="6:24">
      <c r="S46" s="71">
        <v>27</v>
      </c>
      <c r="T46" s="80">
        <v>2019</v>
      </c>
      <c r="U46" s="81">
        <v>12</v>
      </c>
      <c r="V46" s="208">
        <f t="shared" si="3"/>
        <v>43826</v>
      </c>
      <c r="W46" s="71">
        <v>27</v>
      </c>
      <c r="X46" s="82" t="s">
        <v>64</v>
      </c>
    </row>
    <row r="47" spans="6:24">
      <c r="S47" s="71">
        <v>7</v>
      </c>
      <c r="T47" s="80">
        <v>2020</v>
      </c>
      <c r="U47" s="81">
        <v>1</v>
      </c>
      <c r="V47" s="208">
        <f t="shared" si="3"/>
        <v>43837</v>
      </c>
      <c r="W47" s="71">
        <v>7</v>
      </c>
      <c r="X47" s="82" t="s">
        <v>69</v>
      </c>
    </row>
    <row r="48" spans="6:24">
      <c r="S48" s="71">
        <v>16</v>
      </c>
      <c r="T48" s="80">
        <v>2020</v>
      </c>
      <c r="U48" s="81">
        <v>1</v>
      </c>
      <c r="V48" s="208">
        <f t="shared" si="3"/>
        <v>43846</v>
      </c>
      <c r="W48" s="71">
        <v>16</v>
      </c>
      <c r="X48" s="82" t="s">
        <v>62</v>
      </c>
    </row>
    <row r="49" spans="19:24">
      <c r="S49" s="71">
        <v>23</v>
      </c>
      <c r="T49" s="80">
        <v>2020</v>
      </c>
      <c r="U49" s="81">
        <v>1</v>
      </c>
      <c r="V49" s="208">
        <f t="shared" si="3"/>
        <v>43853</v>
      </c>
      <c r="W49" s="71">
        <v>23</v>
      </c>
      <c r="X49" s="82" t="s">
        <v>62</v>
      </c>
    </row>
    <row r="50" spans="19:24">
      <c r="S50" s="71">
        <v>27</v>
      </c>
      <c r="T50" s="80">
        <v>2020</v>
      </c>
      <c r="U50" s="81">
        <v>1</v>
      </c>
      <c r="V50" s="208">
        <f t="shared" si="3"/>
        <v>43857</v>
      </c>
      <c r="W50" s="71">
        <v>27</v>
      </c>
      <c r="X50" s="82" t="s">
        <v>76</v>
      </c>
    </row>
    <row r="51" spans="19:24">
      <c r="S51" s="71">
        <v>7</v>
      </c>
      <c r="T51" s="80">
        <v>2020</v>
      </c>
      <c r="U51" s="81">
        <v>2</v>
      </c>
      <c r="V51" s="208">
        <f t="shared" si="3"/>
        <v>43868</v>
      </c>
      <c r="W51" s="71">
        <v>7</v>
      </c>
      <c r="X51" s="82" t="s">
        <v>64</v>
      </c>
    </row>
    <row r="52" spans="19:24">
      <c r="S52" s="71">
        <v>16</v>
      </c>
      <c r="T52" s="80">
        <v>2020</v>
      </c>
      <c r="U52" s="81">
        <v>2</v>
      </c>
      <c r="V52" s="208">
        <f t="shared" si="3"/>
        <v>43877</v>
      </c>
      <c r="W52" s="71">
        <v>16</v>
      </c>
      <c r="X52" s="82" t="s">
        <v>61</v>
      </c>
    </row>
    <row r="53" spans="19:24">
      <c r="S53" s="71">
        <v>23</v>
      </c>
      <c r="T53" s="80">
        <v>2020</v>
      </c>
      <c r="U53" s="81">
        <v>2</v>
      </c>
      <c r="V53" s="208">
        <f t="shared" si="3"/>
        <v>43884</v>
      </c>
      <c r="W53" s="71">
        <v>23</v>
      </c>
      <c r="X53" s="82" t="s">
        <v>61</v>
      </c>
    </row>
    <row r="54" spans="19:24">
      <c r="S54" s="71">
        <v>27</v>
      </c>
      <c r="T54" s="80">
        <v>2020</v>
      </c>
      <c r="U54" s="81">
        <v>2</v>
      </c>
      <c r="V54" s="208">
        <f t="shared" si="3"/>
        <v>43888</v>
      </c>
      <c r="W54" s="71">
        <v>27</v>
      </c>
      <c r="X54" s="82" t="s">
        <v>62</v>
      </c>
    </row>
    <row r="55" spans="19:24">
      <c r="S55" s="71">
        <v>7</v>
      </c>
      <c r="T55" s="80">
        <v>2020</v>
      </c>
      <c r="U55" s="81">
        <v>3</v>
      </c>
      <c r="V55" s="208">
        <f t="shared" si="3"/>
        <v>43897</v>
      </c>
      <c r="W55" s="71">
        <v>7</v>
      </c>
      <c r="X55" s="83" t="s">
        <v>97</v>
      </c>
    </row>
    <row r="56" spans="19:24">
      <c r="S56" s="71">
        <v>16</v>
      </c>
      <c r="T56" s="80">
        <v>2020</v>
      </c>
      <c r="U56" s="81">
        <v>3</v>
      </c>
      <c r="V56" s="208">
        <f t="shared" si="3"/>
        <v>43906</v>
      </c>
      <c r="W56" s="71">
        <v>16</v>
      </c>
      <c r="X56" s="82" t="s">
        <v>76</v>
      </c>
    </row>
    <row r="57" spans="19:24">
      <c r="S57" s="71">
        <v>23</v>
      </c>
      <c r="T57" s="80">
        <v>2020</v>
      </c>
      <c r="U57" s="81">
        <v>3</v>
      </c>
      <c r="V57" s="208">
        <f t="shared" si="3"/>
        <v>43913</v>
      </c>
      <c r="W57" s="71">
        <v>23</v>
      </c>
      <c r="X57" s="82" t="s">
        <v>76</v>
      </c>
    </row>
    <row r="58" spans="19:24">
      <c r="S58" s="71">
        <v>27</v>
      </c>
      <c r="T58" s="80">
        <v>2020</v>
      </c>
      <c r="U58" s="81">
        <v>3</v>
      </c>
      <c r="V58" s="208">
        <f t="shared" si="3"/>
        <v>43917</v>
      </c>
      <c r="W58" s="71">
        <v>27</v>
      </c>
      <c r="X58" s="82" t="s">
        <v>64</v>
      </c>
    </row>
    <row r="59" spans="19:24">
      <c r="S59" s="71">
        <v>7</v>
      </c>
      <c r="T59" s="80">
        <v>2020</v>
      </c>
      <c r="U59" s="81">
        <v>4</v>
      </c>
      <c r="V59" s="208">
        <f t="shared" si="3"/>
        <v>43928</v>
      </c>
      <c r="W59" s="71">
        <v>7</v>
      </c>
      <c r="X59" s="82" t="s">
        <v>69</v>
      </c>
    </row>
    <row r="60" spans="19:24">
      <c r="S60" s="71">
        <v>16</v>
      </c>
      <c r="T60" s="80">
        <v>2020</v>
      </c>
      <c r="U60" s="81">
        <v>4</v>
      </c>
      <c r="V60" s="208">
        <f t="shared" si="3"/>
        <v>43937</v>
      </c>
      <c r="W60" s="71">
        <v>16</v>
      </c>
      <c r="X60" s="82" t="s">
        <v>62</v>
      </c>
    </row>
    <row r="61" spans="19:24">
      <c r="S61" s="71">
        <v>23</v>
      </c>
      <c r="T61" s="80">
        <v>2020</v>
      </c>
      <c r="U61" s="81">
        <v>4</v>
      </c>
      <c r="V61" s="208">
        <f t="shared" si="3"/>
        <v>43944</v>
      </c>
      <c r="W61" s="71">
        <v>23</v>
      </c>
      <c r="X61" s="82" t="s">
        <v>62</v>
      </c>
    </row>
    <row r="62" spans="19:24">
      <c r="S62" s="71">
        <v>27</v>
      </c>
      <c r="T62" s="80">
        <v>2020</v>
      </c>
      <c r="U62" s="81">
        <v>4</v>
      </c>
      <c r="V62" s="208">
        <f t="shared" si="3"/>
        <v>43948</v>
      </c>
      <c r="W62" s="71">
        <v>27</v>
      </c>
      <c r="X62" s="82" t="s">
        <v>76</v>
      </c>
    </row>
    <row r="63" spans="19:24">
      <c r="S63" s="71">
        <v>7</v>
      </c>
      <c r="T63" s="80">
        <v>2020</v>
      </c>
      <c r="U63" s="81">
        <v>5</v>
      </c>
      <c r="V63" s="208">
        <f t="shared" si="3"/>
        <v>43958</v>
      </c>
      <c r="W63" s="71">
        <v>7</v>
      </c>
      <c r="X63" s="82" t="s">
        <v>62</v>
      </c>
    </row>
    <row r="64" spans="19:24">
      <c r="S64" s="71">
        <v>16</v>
      </c>
      <c r="T64" s="80">
        <v>2020</v>
      </c>
      <c r="U64" s="81">
        <v>5</v>
      </c>
      <c r="V64" s="208">
        <f t="shared" si="3"/>
        <v>43967</v>
      </c>
      <c r="W64" s="71">
        <v>16</v>
      </c>
      <c r="X64" s="83" t="s">
        <v>97</v>
      </c>
    </row>
    <row r="65" spans="19:24">
      <c r="S65" s="71">
        <v>23</v>
      </c>
      <c r="T65" s="80">
        <v>2020</v>
      </c>
      <c r="U65" s="81">
        <v>5</v>
      </c>
      <c r="V65" s="208">
        <f t="shared" si="3"/>
        <v>43974</v>
      </c>
      <c r="W65" s="71">
        <v>23</v>
      </c>
      <c r="X65" s="83" t="s">
        <v>97</v>
      </c>
    </row>
    <row r="66" spans="19:24">
      <c r="S66" s="71">
        <v>27</v>
      </c>
      <c r="T66" s="80">
        <v>2020</v>
      </c>
      <c r="U66" s="81">
        <v>5</v>
      </c>
      <c r="V66" s="208">
        <f t="shared" si="3"/>
        <v>43978</v>
      </c>
      <c r="W66" s="71">
        <v>27</v>
      </c>
      <c r="X66" s="82" t="s">
        <v>66</v>
      </c>
    </row>
    <row r="67" spans="19:24">
      <c r="S67" s="71">
        <v>7</v>
      </c>
      <c r="T67" s="80">
        <v>2020</v>
      </c>
      <c r="U67" s="81">
        <v>6</v>
      </c>
      <c r="V67" s="208">
        <f t="shared" ref="V67:V130" si="7">DATE(T67,U67,S67)</f>
        <v>43989</v>
      </c>
      <c r="W67" s="71">
        <v>7</v>
      </c>
      <c r="X67" s="82" t="s">
        <v>61</v>
      </c>
    </row>
    <row r="68" spans="19:24">
      <c r="S68" s="71">
        <v>16</v>
      </c>
      <c r="T68" s="80">
        <v>2020</v>
      </c>
      <c r="U68" s="81">
        <v>6</v>
      </c>
      <c r="V68" s="208">
        <f t="shared" si="7"/>
        <v>43998</v>
      </c>
      <c r="W68" s="71">
        <v>16</v>
      </c>
      <c r="X68" s="82" t="s">
        <v>69</v>
      </c>
    </row>
    <row r="69" spans="19:24">
      <c r="S69" s="71">
        <v>23</v>
      </c>
      <c r="T69" s="80">
        <v>2020</v>
      </c>
      <c r="U69" s="81">
        <v>6</v>
      </c>
      <c r="V69" s="208">
        <f t="shared" si="7"/>
        <v>44005</v>
      </c>
      <c r="W69" s="71">
        <v>23</v>
      </c>
      <c r="X69" s="82" t="s">
        <v>69</v>
      </c>
    </row>
    <row r="70" spans="19:24">
      <c r="S70" s="71">
        <v>27</v>
      </c>
      <c r="T70" s="80">
        <v>2020</v>
      </c>
      <c r="U70" s="81">
        <v>6</v>
      </c>
      <c r="V70" s="208">
        <f t="shared" si="7"/>
        <v>44009</v>
      </c>
      <c r="W70" s="71">
        <v>27</v>
      </c>
      <c r="X70" s="83" t="s">
        <v>97</v>
      </c>
    </row>
    <row r="71" spans="19:24">
      <c r="S71" s="71">
        <v>7</v>
      </c>
      <c r="T71" s="80">
        <v>2020</v>
      </c>
      <c r="U71" s="81">
        <v>7</v>
      </c>
      <c r="V71" s="208">
        <f t="shared" si="7"/>
        <v>44019</v>
      </c>
      <c r="W71" s="71">
        <v>7</v>
      </c>
      <c r="X71" s="82" t="s">
        <v>69</v>
      </c>
    </row>
    <row r="72" spans="19:24">
      <c r="S72" s="71">
        <v>16</v>
      </c>
      <c r="T72" s="80">
        <v>2020</v>
      </c>
      <c r="U72" s="81">
        <v>7</v>
      </c>
      <c r="V72" s="208">
        <f t="shared" si="7"/>
        <v>44028</v>
      </c>
      <c r="W72" s="71">
        <v>16</v>
      </c>
      <c r="X72" s="82" t="s">
        <v>62</v>
      </c>
    </row>
    <row r="73" spans="19:24">
      <c r="S73" s="71">
        <v>23</v>
      </c>
      <c r="T73" s="80">
        <v>2020</v>
      </c>
      <c r="U73" s="81">
        <v>7</v>
      </c>
      <c r="V73" s="208">
        <f t="shared" si="7"/>
        <v>44035</v>
      </c>
      <c r="W73" s="71">
        <v>23</v>
      </c>
      <c r="X73" s="82" t="s">
        <v>62</v>
      </c>
    </row>
    <row r="74" spans="19:24">
      <c r="S74" s="71">
        <v>27</v>
      </c>
      <c r="T74" s="80">
        <v>2020</v>
      </c>
      <c r="U74" s="81">
        <v>7</v>
      </c>
      <c r="V74" s="208">
        <f t="shared" si="7"/>
        <v>44039</v>
      </c>
      <c r="W74" s="71">
        <v>27</v>
      </c>
      <c r="X74" s="82" t="s">
        <v>76</v>
      </c>
    </row>
    <row r="75" spans="19:24">
      <c r="S75" s="71">
        <v>7</v>
      </c>
      <c r="T75" s="80">
        <v>2020</v>
      </c>
      <c r="U75" s="81">
        <v>8</v>
      </c>
      <c r="V75" s="208">
        <f t="shared" si="7"/>
        <v>44050</v>
      </c>
      <c r="W75" s="71">
        <v>7</v>
      </c>
      <c r="X75" s="82" t="s">
        <v>64</v>
      </c>
    </row>
    <row r="76" spans="19:24">
      <c r="S76" s="71">
        <v>16</v>
      </c>
      <c r="T76" s="80">
        <v>2020</v>
      </c>
      <c r="U76" s="81">
        <v>8</v>
      </c>
      <c r="V76" s="208">
        <f t="shared" si="7"/>
        <v>44059</v>
      </c>
      <c r="W76" s="71">
        <v>16</v>
      </c>
      <c r="X76" s="82" t="s">
        <v>61</v>
      </c>
    </row>
    <row r="77" spans="19:24">
      <c r="S77" s="71">
        <v>23</v>
      </c>
      <c r="T77" s="80">
        <v>2020</v>
      </c>
      <c r="U77" s="81">
        <v>8</v>
      </c>
      <c r="V77" s="208">
        <f t="shared" si="7"/>
        <v>44066</v>
      </c>
      <c r="W77" s="71">
        <v>23</v>
      </c>
      <c r="X77" s="82" t="s">
        <v>61</v>
      </c>
    </row>
    <row r="78" spans="19:24">
      <c r="S78" s="71">
        <v>27</v>
      </c>
      <c r="T78" s="80">
        <v>2020</v>
      </c>
      <c r="U78" s="81">
        <v>8</v>
      </c>
      <c r="V78" s="208">
        <f t="shared" si="7"/>
        <v>44070</v>
      </c>
      <c r="W78" s="71">
        <v>27</v>
      </c>
      <c r="X78" s="82" t="s">
        <v>62</v>
      </c>
    </row>
    <row r="79" spans="19:24">
      <c r="S79" s="71">
        <v>7</v>
      </c>
      <c r="T79" s="80">
        <v>2020</v>
      </c>
      <c r="U79" s="81">
        <v>9</v>
      </c>
      <c r="V79" s="208">
        <f t="shared" si="7"/>
        <v>44081</v>
      </c>
      <c r="W79" s="71">
        <v>7</v>
      </c>
      <c r="X79" s="82" t="s">
        <v>76</v>
      </c>
    </row>
    <row r="80" spans="19:24">
      <c r="S80" s="71">
        <v>16</v>
      </c>
      <c r="T80" s="80">
        <v>2020</v>
      </c>
      <c r="U80" s="81">
        <v>9</v>
      </c>
      <c r="V80" s="208">
        <f t="shared" si="7"/>
        <v>44090</v>
      </c>
      <c r="W80" s="71">
        <v>16</v>
      </c>
      <c r="X80" s="82" t="s">
        <v>66</v>
      </c>
    </row>
    <row r="81" spans="19:24">
      <c r="S81" s="71">
        <v>23</v>
      </c>
      <c r="T81" s="80">
        <v>2020</v>
      </c>
      <c r="U81" s="81">
        <v>9</v>
      </c>
      <c r="V81" s="208">
        <f t="shared" si="7"/>
        <v>44097</v>
      </c>
      <c r="W81" s="71">
        <v>23</v>
      </c>
      <c r="X81" s="82" t="s">
        <v>66</v>
      </c>
    </row>
    <row r="82" spans="19:24">
      <c r="S82" s="71">
        <v>27</v>
      </c>
      <c r="T82" s="80">
        <v>2020</v>
      </c>
      <c r="U82" s="81">
        <v>9</v>
      </c>
      <c r="V82" s="208">
        <f t="shared" si="7"/>
        <v>44101</v>
      </c>
      <c r="W82" s="71">
        <v>27</v>
      </c>
      <c r="X82" s="82" t="s">
        <v>61</v>
      </c>
    </row>
    <row r="83" spans="19:24">
      <c r="S83" s="71">
        <v>7</v>
      </c>
      <c r="T83" s="80">
        <v>2020</v>
      </c>
      <c r="U83" s="81">
        <v>10</v>
      </c>
      <c r="V83" s="208">
        <f t="shared" si="7"/>
        <v>44111</v>
      </c>
      <c r="W83" s="71">
        <v>7</v>
      </c>
      <c r="X83" s="82" t="s">
        <v>66</v>
      </c>
    </row>
    <row r="84" spans="19:24">
      <c r="S84" s="71">
        <v>16</v>
      </c>
      <c r="T84" s="80">
        <v>2020</v>
      </c>
      <c r="U84" s="81">
        <v>10</v>
      </c>
      <c r="V84" s="208">
        <f t="shared" si="7"/>
        <v>44120</v>
      </c>
      <c r="W84" s="71">
        <v>16</v>
      </c>
      <c r="X84" s="82" t="s">
        <v>64</v>
      </c>
    </row>
    <row r="85" spans="19:24">
      <c r="S85" s="71">
        <v>23</v>
      </c>
      <c r="T85" s="80">
        <v>2020</v>
      </c>
      <c r="U85" s="81">
        <v>10</v>
      </c>
      <c r="V85" s="208">
        <f t="shared" si="7"/>
        <v>44127</v>
      </c>
      <c r="W85" s="71">
        <v>23</v>
      </c>
      <c r="X85" s="82" t="s">
        <v>64</v>
      </c>
    </row>
    <row r="86" spans="19:24">
      <c r="S86" s="71">
        <v>27</v>
      </c>
      <c r="T86" s="80">
        <v>2020</v>
      </c>
      <c r="U86" s="81">
        <v>10</v>
      </c>
      <c r="V86" s="208">
        <f t="shared" si="7"/>
        <v>44131</v>
      </c>
      <c r="W86" s="71">
        <v>27</v>
      </c>
      <c r="X86" s="82" t="s">
        <v>69</v>
      </c>
    </row>
    <row r="87" spans="19:24">
      <c r="S87" s="71">
        <v>7</v>
      </c>
      <c r="T87" s="80">
        <v>2020</v>
      </c>
      <c r="U87" s="81">
        <v>11</v>
      </c>
      <c r="V87" s="208">
        <f t="shared" si="7"/>
        <v>44142</v>
      </c>
      <c r="W87" s="71">
        <v>7</v>
      </c>
      <c r="X87" s="83" t="s">
        <v>97</v>
      </c>
    </row>
    <row r="88" spans="19:24">
      <c r="S88" s="71">
        <v>16</v>
      </c>
      <c r="T88" s="80">
        <v>2020</v>
      </c>
      <c r="U88" s="81">
        <v>11</v>
      </c>
      <c r="V88" s="208">
        <f t="shared" si="7"/>
        <v>44151</v>
      </c>
      <c r="W88" s="71">
        <v>16</v>
      </c>
      <c r="X88" s="82" t="s">
        <v>76</v>
      </c>
    </row>
    <row r="89" spans="19:24">
      <c r="S89" s="71">
        <v>23</v>
      </c>
      <c r="T89" s="80">
        <v>2020</v>
      </c>
      <c r="U89" s="81">
        <v>11</v>
      </c>
      <c r="V89" s="208">
        <f t="shared" si="7"/>
        <v>44158</v>
      </c>
      <c r="W89" s="71">
        <v>23</v>
      </c>
      <c r="X89" s="82" t="s">
        <v>76</v>
      </c>
    </row>
    <row r="90" spans="19:24">
      <c r="S90" s="71">
        <v>27</v>
      </c>
      <c r="T90" s="80">
        <v>2020</v>
      </c>
      <c r="U90" s="81">
        <v>11</v>
      </c>
      <c r="V90" s="208">
        <f t="shared" si="7"/>
        <v>44162</v>
      </c>
      <c r="W90" s="71">
        <v>27</v>
      </c>
      <c r="X90" s="82" t="s">
        <v>64</v>
      </c>
    </row>
    <row r="91" spans="19:24">
      <c r="S91" s="71">
        <v>7</v>
      </c>
      <c r="T91" s="80">
        <v>2020</v>
      </c>
      <c r="U91" s="81">
        <v>12</v>
      </c>
      <c r="V91" s="208">
        <f t="shared" si="7"/>
        <v>44172</v>
      </c>
      <c r="W91" s="71">
        <v>7</v>
      </c>
      <c r="X91" s="82" t="s">
        <v>76</v>
      </c>
    </row>
    <row r="92" spans="19:24">
      <c r="S92" s="71">
        <v>16</v>
      </c>
      <c r="T92" s="80">
        <v>2020</v>
      </c>
      <c r="U92" s="81">
        <v>12</v>
      </c>
      <c r="V92" s="208">
        <f t="shared" si="7"/>
        <v>44181</v>
      </c>
      <c r="W92" s="71">
        <v>16</v>
      </c>
      <c r="X92" s="82" t="s">
        <v>66</v>
      </c>
    </row>
    <row r="93" spans="19:24">
      <c r="S93" s="71">
        <v>23</v>
      </c>
      <c r="T93" s="80">
        <v>2020</v>
      </c>
      <c r="U93" s="81">
        <v>12</v>
      </c>
      <c r="V93" s="208">
        <f t="shared" si="7"/>
        <v>44188</v>
      </c>
      <c r="W93" s="71">
        <v>23</v>
      </c>
      <c r="X93" s="82" t="s">
        <v>66</v>
      </c>
    </row>
    <row r="94" spans="19:24">
      <c r="S94" s="71">
        <v>27</v>
      </c>
      <c r="T94" s="80">
        <v>2020</v>
      </c>
      <c r="U94" s="81">
        <v>12</v>
      </c>
      <c r="V94" s="208">
        <f t="shared" si="7"/>
        <v>44192</v>
      </c>
      <c r="W94" s="71">
        <v>27</v>
      </c>
      <c r="X94" s="82" t="s">
        <v>61</v>
      </c>
    </row>
    <row r="95" spans="19:24">
      <c r="S95" s="71">
        <v>7</v>
      </c>
      <c r="T95" s="80">
        <v>2021</v>
      </c>
      <c r="U95" s="81">
        <v>1</v>
      </c>
      <c r="V95" s="208">
        <f t="shared" si="7"/>
        <v>44203</v>
      </c>
      <c r="W95" s="71">
        <v>7</v>
      </c>
      <c r="X95" s="82" t="s">
        <v>62</v>
      </c>
    </row>
    <row r="96" spans="19:24">
      <c r="S96" s="71">
        <v>16</v>
      </c>
      <c r="T96" s="80">
        <v>2021</v>
      </c>
      <c r="U96" s="81">
        <v>1</v>
      </c>
      <c r="V96" s="208">
        <f t="shared" si="7"/>
        <v>44212</v>
      </c>
      <c r="W96" s="71">
        <v>16</v>
      </c>
      <c r="X96" s="83" t="s">
        <v>97</v>
      </c>
    </row>
    <row r="97" spans="19:24">
      <c r="S97" s="71">
        <v>23</v>
      </c>
      <c r="T97" s="80">
        <v>2021</v>
      </c>
      <c r="U97" s="81">
        <v>1</v>
      </c>
      <c r="V97" s="208">
        <f t="shared" si="7"/>
        <v>44219</v>
      </c>
      <c r="W97" s="71">
        <v>23</v>
      </c>
      <c r="X97" s="83" t="s">
        <v>97</v>
      </c>
    </row>
    <row r="98" spans="19:24">
      <c r="S98" s="71">
        <v>27</v>
      </c>
      <c r="T98" s="80">
        <v>2021</v>
      </c>
      <c r="U98" s="81">
        <v>1</v>
      </c>
      <c r="V98" s="208">
        <f t="shared" si="7"/>
        <v>44223</v>
      </c>
      <c r="W98" s="71">
        <v>27</v>
      </c>
      <c r="X98" s="82" t="s">
        <v>66</v>
      </c>
    </row>
    <row r="99" spans="19:24">
      <c r="S99" s="71">
        <v>7</v>
      </c>
      <c r="T99" s="80">
        <v>2021</v>
      </c>
      <c r="U99" s="81">
        <v>2</v>
      </c>
      <c r="V99" s="208">
        <f t="shared" si="7"/>
        <v>44234</v>
      </c>
      <c r="W99" s="71">
        <v>7</v>
      </c>
      <c r="X99" s="82" t="s">
        <v>61</v>
      </c>
    </row>
    <row r="100" spans="19:24">
      <c r="S100" s="71">
        <v>16</v>
      </c>
      <c r="T100" s="80">
        <v>2021</v>
      </c>
      <c r="U100" s="81">
        <v>2</v>
      </c>
      <c r="V100" s="208">
        <f t="shared" si="7"/>
        <v>44243</v>
      </c>
      <c r="W100" s="71">
        <v>16</v>
      </c>
      <c r="X100" s="82" t="s">
        <v>69</v>
      </c>
    </row>
    <row r="101" spans="19:24">
      <c r="S101" s="71">
        <v>23</v>
      </c>
      <c r="T101" s="80">
        <v>2021</v>
      </c>
      <c r="U101" s="81">
        <v>2</v>
      </c>
      <c r="V101" s="208">
        <f t="shared" si="7"/>
        <v>44250</v>
      </c>
      <c r="W101" s="71">
        <v>23</v>
      </c>
      <c r="X101" s="82" t="s">
        <v>69</v>
      </c>
    </row>
    <row r="102" spans="19:24">
      <c r="S102" s="71">
        <v>27</v>
      </c>
      <c r="T102" s="80">
        <v>2021</v>
      </c>
      <c r="U102" s="81">
        <v>2</v>
      </c>
      <c r="V102" s="208">
        <f t="shared" si="7"/>
        <v>44254</v>
      </c>
      <c r="W102" s="71">
        <v>27</v>
      </c>
      <c r="X102" s="83" t="s">
        <v>97</v>
      </c>
    </row>
    <row r="103" spans="19:24">
      <c r="S103" s="71">
        <v>7</v>
      </c>
      <c r="T103" s="80">
        <v>2021</v>
      </c>
      <c r="U103" s="81">
        <v>3</v>
      </c>
      <c r="V103" s="208">
        <f t="shared" si="7"/>
        <v>44262</v>
      </c>
      <c r="W103" s="71">
        <v>7</v>
      </c>
      <c r="X103" s="82" t="s">
        <v>61</v>
      </c>
    </row>
    <row r="104" spans="19:24">
      <c r="S104" s="71">
        <v>16</v>
      </c>
      <c r="T104" s="80">
        <v>2021</v>
      </c>
      <c r="U104" s="81">
        <v>3</v>
      </c>
      <c r="V104" s="208">
        <f t="shared" si="7"/>
        <v>44271</v>
      </c>
      <c r="W104" s="71">
        <v>16</v>
      </c>
      <c r="X104" s="82" t="s">
        <v>69</v>
      </c>
    </row>
    <row r="105" spans="19:24">
      <c r="S105" s="71">
        <v>23</v>
      </c>
      <c r="T105" s="80">
        <v>2021</v>
      </c>
      <c r="U105" s="81">
        <v>3</v>
      </c>
      <c r="V105" s="208">
        <f t="shared" si="7"/>
        <v>44278</v>
      </c>
      <c r="W105" s="71">
        <v>23</v>
      </c>
      <c r="X105" s="82" t="s">
        <v>69</v>
      </c>
    </row>
    <row r="106" spans="19:24">
      <c r="S106" s="71">
        <v>27</v>
      </c>
      <c r="T106" s="80">
        <v>2021</v>
      </c>
      <c r="U106" s="81">
        <v>3</v>
      </c>
      <c r="V106" s="208">
        <f t="shared" si="7"/>
        <v>44282</v>
      </c>
      <c r="W106" s="71">
        <v>27</v>
      </c>
      <c r="X106" s="83" t="s">
        <v>97</v>
      </c>
    </row>
    <row r="107" spans="19:24">
      <c r="S107" s="71">
        <v>7</v>
      </c>
      <c r="T107" s="80">
        <v>2021</v>
      </c>
      <c r="U107" s="81">
        <v>4</v>
      </c>
      <c r="V107" s="208">
        <f t="shared" si="7"/>
        <v>44293</v>
      </c>
      <c r="W107" s="71">
        <v>7</v>
      </c>
      <c r="X107" s="82" t="s">
        <v>66</v>
      </c>
    </row>
    <row r="108" spans="19:24">
      <c r="S108" s="71">
        <v>16</v>
      </c>
      <c r="T108" s="80">
        <v>2021</v>
      </c>
      <c r="U108" s="81">
        <v>4</v>
      </c>
      <c r="V108" s="208">
        <f t="shared" si="7"/>
        <v>44302</v>
      </c>
      <c r="W108" s="71">
        <v>16</v>
      </c>
      <c r="X108" s="82" t="s">
        <v>64</v>
      </c>
    </row>
    <row r="109" spans="19:24">
      <c r="S109" s="71">
        <v>23</v>
      </c>
      <c r="T109" s="80">
        <v>2021</v>
      </c>
      <c r="U109" s="81">
        <v>4</v>
      </c>
      <c r="V109" s="208">
        <f t="shared" si="7"/>
        <v>44309</v>
      </c>
      <c r="W109" s="71">
        <v>23</v>
      </c>
      <c r="X109" s="82" t="s">
        <v>64</v>
      </c>
    </row>
    <row r="110" spans="19:24">
      <c r="S110" s="71">
        <v>27</v>
      </c>
      <c r="T110" s="80">
        <v>2021</v>
      </c>
      <c r="U110" s="81">
        <v>4</v>
      </c>
      <c r="V110" s="208">
        <f t="shared" si="7"/>
        <v>44313</v>
      </c>
      <c r="W110" s="71">
        <v>27</v>
      </c>
      <c r="X110" s="82" t="s">
        <v>69</v>
      </c>
    </row>
    <row r="111" spans="19:24">
      <c r="S111" s="71">
        <v>7</v>
      </c>
      <c r="T111" s="80">
        <v>2021</v>
      </c>
      <c r="U111" s="81">
        <v>5</v>
      </c>
      <c r="V111" s="208">
        <f t="shared" si="7"/>
        <v>44323</v>
      </c>
      <c r="W111" s="71">
        <v>7</v>
      </c>
      <c r="X111" s="82" t="s">
        <v>64</v>
      </c>
    </row>
    <row r="112" spans="19:24">
      <c r="S112" s="71">
        <v>16</v>
      </c>
      <c r="T112" s="80">
        <v>2021</v>
      </c>
      <c r="U112" s="81">
        <v>5</v>
      </c>
      <c r="V112" s="208">
        <f t="shared" si="7"/>
        <v>44332</v>
      </c>
      <c r="W112" s="71">
        <v>16</v>
      </c>
      <c r="X112" s="82" t="s">
        <v>61</v>
      </c>
    </row>
    <row r="113" spans="19:24">
      <c r="S113" s="71">
        <v>23</v>
      </c>
      <c r="T113" s="80">
        <v>2021</v>
      </c>
      <c r="U113" s="81">
        <v>5</v>
      </c>
      <c r="V113" s="208">
        <f t="shared" si="7"/>
        <v>44339</v>
      </c>
      <c r="W113" s="71">
        <v>23</v>
      </c>
      <c r="X113" s="82" t="s">
        <v>61</v>
      </c>
    </row>
    <row r="114" spans="19:24">
      <c r="S114" s="71">
        <v>27</v>
      </c>
      <c r="T114" s="80">
        <v>2021</v>
      </c>
      <c r="U114" s="81">
        <v>5</v>
      </c>
      <c r="V114" s="208">
        <f t="shared" si="7"/>
        <v>44343</v>
      </c>
      <c r="W114" s="71">
        <v>27</v>
      </c>
      <c r="X114" s="82" t="s">
        <v>62</v>
      </c>
    </row>
    <row r="115" spans="19:24">
      <c r="S115" s="71">
        <v>7</v>
      </c>
      <c r="T115" s="80">
        <v>2021</v>
      </c>
      <c r="U115" s="81">
        <v>6</v>
      </c>
      <c r="V115" s="208">
        <f t="shared" si="7"/>
        <v>44354</v>
      </c>
      <c r="W115" s="71">
        <v>7</v>
      </c>
      <c r="X115" s="82" t="s">
        <v>76</v>
      </c>
    </row>
    <row r="116" spans="19:24">
      <c r="S116" s="71">
        <v>16</v>
      </c>
      <c r="T116" s="80">
        <v>2021</v>
      </c>
      <c r="U116" s="81">
        <v>6</v>
      </c>
      <c r="V116" s="208">
        <f t="shared" si="7"/>
        <v>44363</v>
      </c>
      <c r="W116" s="71">
        <v>16</v>
      </c>
      <c r="X116" s="82" t="s">
        <v>66</v>
      </c>
    </row>
    <row r="117" spans="19:24">
      <c r="S117" s="71">
        <v>23</v>
      </c>
      <c r="T117" s="80">
        <v>2021</v>
      </c>
      <c r="U117" s="81">
        <v>6</v>
      </c>
      <c r="V117" s="208">
        <f t="shared" si="7"/>
        <v>44370</v>
      </c>
      <c r="W117" s="71">
        <v>23</v>
      </c>
      <c r="X117" s="82" t="s">
        <v>66</v>
      </c>
    </row>
    <row r="118" spans="19:24">
      <c r="S118" s="71">
        <v>27</v>
      </c>
      <c r="T118" s="80">
        <v>2021</v>
      </c>
      <c r="U118" s="81">
        <v>6</v>
      </c>
      <c r="V118" s="208">
        <f t="shared" si="7"/>
        <v>44374</v>
      </c>
      <c r="W118" s="71">
        <v>27</v>
      </c>
      <c r="X118" s="82" t="s">
        <v>61</v>
      </c>
    </row>
    <row r="119" spans="19:24">
      <c r="S119" s="71">
        <v>7</v>
      </c>
      <c r="T119" s="80">
        <v>2021</v>
      </c>
      <c r="U119" s="81">
        <v>7</v>
      </c>
      <c r="V119" s="208">
        <f t="shared" si="7"/>
        <v>44384</v>
      </c>
      <c r="W119" s="71">
        <v>7</v>
      </c>
      <c r="X119" s="82" t="s">
        <v>66</v>
      </c>
    </row>
    <row r="120" spans="19:24">
      <c r="S120" s="71">
        <v>16</v>
      </c>
      <c r="T120" s="80">
        <v>2021</v>
      </c>
      <c r="U120" s="81">
        <v>7</v>
      </c>
      <c r="V120" s="208">
        <f t="shared" si="7"/>
        <v>44393</v>
      </c>
      <c r="W120" s="71">
        <v>16</v>
      </c>
      <c r="X120" s="82" t="s">
        <v>64</v>
      </c>
    </row>
    <row r="121" spans="19:24">
      <c r="S121" s="71">
        <v>23</v>
      </c>
      <c r="T121" s="80">
        <v>2021</v>
      </c>
      <c r="U121" s="81">
        <v>7</v>
      </c>
      <c r="V121" s="208">
        <f t="shared" si="7"/>
        <v>44400</v>
      </c>
      <c r="W121" s="71">
        <v>23</v>
      </c>
      <c r="X121" s="82" t="s">
        <v>64</v>
      </c>
    </row>
    <row r="122" spans="19:24">
      <c r="S122" s="71">
        <v>27</v>
      </c>
      <c r="T122" s="80">
        <v>2021</v>
      </c>
      <c r="U122" s="81">
        <v>7</v>
      </c>
      <c r="V122" s="208">
        <f t="shared" si="7"/>
        <v>44404</v>
      </c>
      <c r="W122" s="71">
        <v>27</v>
      </c>
      <c r="X122" s="82" t="s">
        <v>69</v>
      </c>
    </row>
    <row r="123" spans="19:24">
      <c r="S123" s="71">
        <v>7</v>
      </c>
      <c r="T123" s="80">
        <v>2021</v>
      </c>
      <c r="U123" s="81">
        <v>8</v>
      </c>
      <c r="V123" s="208">
        <f t="shared" si="7"/>
        <v>44415</v>
      </c>
      <c r="W123" s="71">
        <v>7</v>
      </c>
      <c r="X123" s="83" t="s">
        <v>97</v>
      </c>
    </row>
    <row r="124" spans="19:24">
      <c r="S124" s="71">
        <v>16</v>
      </c>
      <c r="T124" s="80">
        <v>2021</v>
      </c>
      <c r="U124" s="81">
        <v>8</v>
      </c>
      <c r="V124" s="208">
        <f t="shared" si="7"/>
        <v>44424</v>
      </c>
      <c r="W124" s="71">
        <v>16</v>
      </c>
      <c r="X124" s="82" t="s">
        <v>76</v>
      </c>
    </row>
    <row r="125" spans="19:24">
      <c r="S125" s="71">
        <v>23</v>
      </c>
      <c r="T125" s="80">
        <v>2021</v>
      </c>
      <c r="U125" s="81">
        <v>8</v>
      </c>
      <c r="V125" s="208">
        <f t="shared" si="7"/>
        <v>44431</v>
      </c>
      <c r="W125" s="71">
        <v>23</v>
      </c>
      <c r="X125" s="82" t="s">
        <v>76</v>
      </c>
    </row>
    <row r="126" spans="19:24">
      <c r="S126" s="71">
        <v>27</v>
      </c>
      <c r="T126" s="80">
        <v>2021</v>
      </c>
      <c r="U126" s="81">
        <v>8</v>
      </c>
      <c r="V126" s="208">
        <f t="shared" si="7"/>
        <v>44435</v>
      </c>
      <c r="W126" s="71">
        <v>27</v>
      </c>
      <c r="X126" s="82" t="s">
        <v>64</v>
      </c>
    </row>
    <row r="127" spans="19:24">
      <c r="S127" s="71">
        <v>7</v>
      </c>
      <c r="T127" s="80">
        <v>2021</v>
      </c>
      <c r="U127" s="81">
        <v>9</v>
      </c>
      <c r="V127" s="208">
        <f t="shared" si="7"/>
        <v>44446</v>
      </c>
      <c r="W127" s="71">
        <v>7</v>
      </c>
      <c r="X127" s="82" t="s">
        <v>69</v>
      </c>
    </row>
    <row r="128" spans="19:24">
      <c r="S128" s="71">
        <v>16</v>
      </c>
      <c r="T128" s="80">
        <v>2021</v>
      </c>
      <c r="U128" s="81">
        <v>9</v>
      </c>
      <c r="V128" s="208">
        <f t="shared" si="7"/>
        <v>44455</v>
      </c>
      <c r="W128" s="71">
        <v>16</v>
      </c>
      <c r="X128" s="82" t="s">
        <v>62</v>
      </c>
    </row>
    <row r="129" spans="19:24">
      <c r="S129" s="71">
        <v>23</v>
      </c>
      <c r="T129" s="80">
        <v>2021</v>
      </c>
      <c r="U129" s="81">
        <v>9</v>
      </c>
      <c r="V129" s="208">
        <f t="shared" si="7"/>
        <v>44462</v>
      </c>
      <c r="W129" s="71">
        <v>23</v>
      </c>
      <c r="X129" s="82" t="s">
        <v>62</v>
      </c>
    </row>
    <row r="130" spans="19:24">
      <c r="S130" s="71">
        <v>27</v>
      </c>
      <c r="T130" s="80">
        <v>2021</v>
      </c>
      <c r="U130" s="81">
        <v>9</v>
      </c>
      <c r="V130" s="208">
        <f t="shared" si="7"/>
        <v>44466</v>
      </c>
      <c r="W130" s="71">
        <v>27</v>
      </c>
      <c r="X130" s="82" t="s">
        <v>76</v>
      </c>
    </row>
    <row r="131" spans="19:24">
      <c r="S131" s="71">
        <v>7</v>
      </c>
      <c r="T131" s="80">
        <v>2021</v>
      </c>
      <c r="U131" s="81">
        <v>10</v>
      </c>
      <c r="V131" s="208">
        <f t="shared" ref="V131:V194" si="8">DATE(T131,U131,S131)</f>
        <v>44476</v>
      </c>
      <c r="W131" s="71">
        <v>7</v>
      </c>
      <c r="X131" s="82" t="s">
        <v>62</v>
      </c>
    </row>
    <row r="132" spans="19:24">
      <c r="S132" s="71">
        <v>16</v>
      </c>
      <c r="T132" s="80">
        <v>2021</v>
      </c>
      <c r="U132" s="81">
        <v>10</v>
      </c>
      <c r="V132" s="208">
        <f t="shared" si="8"/>
        <v>44485</v>
      </c>
      <c r="W132" s="71">
        <v>16</v>
      </c>
      <c r="X132" s="83" t="s">
        <v>97</v>
      </c>
    </row>
    <row r="133" spans="19:24">
      <c r="S133" s="71">
        <v>23</v>
      </c>
      <c r="T133" s="80">
        <v>2021</v>
      </c>
      <c r="U133" s="81">
        <v>10</v>
      </c>
      <c r="V133" s="208">
        <f t="shared" si="8"/>
        <v>44492</v>
      </c>
      <c r="W133" s="71">
        <v>23</v>
      </c>
      <c r="X133" s="83" t="s">
        <v>97</v>
      </c>
    </row>
    <row r="134" spans="19:24">
      <c r="S134" s="71">
        <v>27</v>
      </c>
      <c r="T134" s="80">
        <v>2021</v>
      </c>
      <c r="U134" s="81">
        <v>10</v>
      </c>
      <c r="V134" s="208">
        <f t="shared" si="8"/>
        <v>44496</v>
      </c>
      <c r="W134" s="71">
        <v>27</v>
      </c>
      <c r="X134" s="82" t="s">
        <v>66</v>
      </c>
    </row>
    <row r="135" spans="19:24">
      <c r="S135" s="71">
        <v>7</v>
      </c>
      <c r="T135" s="80">
        <v>2021</v>
      </c>
      <c r="U135" s="81">
        <v>11</v>
      </c>
      <c r="V135" s="208">
        <f t="shared" si="8"/>
        <v>44507</v>
      </c>
      <c r="W135" s="71">
        <v>7</v>
      </c>
      <c r="X135" s="82" t="s">
        <v>61</v>
      </c>
    </row>
    <row r="136" spans="19:24">
      <c r="S136" s="71">
        <v>16</v>
      </c>
      <c r="T136" s="80">
        <v>2021</v>
      </c>
      <c r="U136" s="81">
        <v>11</v>
      </c>
      <c r="V136" s="208">
        <f t="shared" si="8"/>
        <v>44516</v>
      </c>
      <c r="W136" s="71">
        <v>16</v>
      </c>
      <c r="X136" s="82" t="s">
        <v>69</v>
      </c>
    </row>
    <row r="137" spans="19:24">
      <c r="S137" s="71">
        <v>23</v>
      </c>
      <c r="T137" s="80">
        <v>2021</v>
      </c>
      <c r="U137" s="81">
        <v>11</v>
      </c>
      <c r="V137" s="208">
        <f t="shared" si="8"/>
        <v>44523</v>
      </c>
      <c r="W137" s="71">
        <v>23</v>
      </c>
      <c r="X137" s="82" t="s">
        <v>69</v>
      </c>
    </row>
    <row r="138" spans="19:24">
      <c r="S138" s="71">
        <v>27</v>
      </c>
      <c r="T138" s="80">
        <v>2021</v>
      </c>
      <c r="U138" s="81">
        <v>11</v>
      </c>
      <c r="V138" s="208">
        <f t="shared" si="8"/>
        <v>44527</v>
      </c>
      <c r="W138" s="71">
        <v>27</v>
      </c>
      <c r="X138" s="83" t="s">
        <v>97</v>
      </c>
    </row>
    <row r="139" spans="19:24">
      <c r="S139" s="71">
        <v>7</v>
      </c>
      <c r="T139" s="80">
        <v>2021</v>
      </c>
      <c r="U139" s="81">
        <v>12</v>
      </c>
      <c r="V139" s="208">
        <f t="shared" si="8"/>
        <v>44537</v>
      </c>
      <c r="W139" s="71">
        <v>7</v>
      </c>
      <c r="X139" s="82" t="s">
        <v>69</v>
      </c>
    </row>
    <row r="140" spans="19:24">
      <c r="S140" s="71">
        <v>16</v>
      </c>
      <c r="T140" s="80">
        <v>2021</v>
      </c>
      <c r="U140" s="81">
        <v>12</v>
      </c>
      <c r="V140" s="208">
        <f t="shared" si="8"/>
        <v>44546</v>
      </c>
      <c r="W140" s="71">
        <v>16</v>
      </c>
      <c r="X140" s="82" t="s">
        <v>62</v>
      </c>
    </row>
    <row r="141" spans="19:24">
      <c r="S141" s="71">
        <v>23</v>
      </c>
      <c r="T141" s="80">
        <v>2021</v>
      </c>
      <c r="U141" s="81">
        <v>12</v>
      </c>
      <c r="V141" s="208">
        <f t="shared" si="8"/>
        <v>44553</v>
      </c>
      <c r="W141" s="71">
        <v>23</v>
      </c>
      <c r="X141" s="82" t="s">
        <v>62</v>
      </c>
    </row>
    <row r="142" spans="19:24">
      <c r="S142" s="71">
        <v>27</v>
      </c>
      <c r="T142" s="80">
        <v>2021</v>
      </c>
      <c r="U142" s="81">
        <v>12</v>
      </c>
      <c r="V142" s="208">
        <f t="shared" si="8"/>
        <v>44557</v>
      </c>
      <c r="W142" s="71">
        <v>27</v>
      </c>
      <c r="X142" s="82" t="s">
        <v>76</v>
      </c>
    </row>
    <row r="143" spans="19:24">
      <c r="S143" s="71">
        <v>7</v>
      </c>
      <c r="T143" s="80">
        <v>2022</v>
      </c>
      <c r="U143" s="81">
        <v>1</v>
      </c>
      <c r="V143" s="208">
        <f t="shared" si="8"/>
        <v>44568</v>
      </c>
      <c r="W143" s="71">
        <v>7</v>
      </c>
      <c r="X143" s="82" t="s">
        <v>64</v>
      </c>
    </row>
    <row r="144" spans="19:24">
      <c r="S144" s="71">
        <v>16</v>
      </c>
      <c r="T144" s="80">
        <v>2022</v>
      </c>
      <c r="U144" s="81">
        <v>1</v>
      </c>
      <c r="V144" s="208">
        <f t="shared" si="8"/>
        <v>44577</v>
      </c>
      <c r="W144" s="71">
        <v>16</v>
      </c>
      <c r="X144" s="82" t="s">
        <v>61</v>
      </c>
    </row>
    <row r="145" spans="19:24">
      <c r="S145" s="71">
        <v>23</v>
      </c>
      <c r="T145" s="80">
        <v>2022</v>
      </c>
      <c r="U145" s="81">
        <v>1</v>
      </c>
      <c r="V145" s="208">
        <f t="shared" si="8"/>
        <v>44584</v>
      </c>
      <c r="W145" s="71">
        <v>23</v>
      </c>
      <c r="X145" s="82" t="s">
        <v>61</v>
      </c>
    </row>
    <row r="146" spans="19:24">
      <c r="S146" s="71">
        <v>27</v>
      </c>
      <c r="T146" s="80">
        <v>2022</v>
      </c>
      <c r="U146" s="81">
        <v>1</v>
      </c>
      <c r="V146" s="208">
        <f t="shared" si="8"/>
        <v>44588</v>
      </c>
      <c r="W146" s="71">
        <v>27</v>
      </c>
      <c r="X146" s="82" t="s">
        <v>62</v>
      </c>
    </row>
    <row r="147" spans="19:24">
      <c r="S147" s="71">
        <v>7</v>
      </c>
      <c r="T147" s="80">
        <v>2022</v>
      </c>
      <c r="U147" s="81">
        <v>2</v>
      </c>
      <c r="V147" s="208">
        <f t="shared" si="8"/>
        <v>44599</v>
      </c>
      <c r="W147" s="71">
        <v>7</v>
      </c>
      <c r="X147" s="82" t="s">
        <v>76</v>
      </c>
    </row>
    <row r="148" spans="19:24">
      <c r="S148" s="71">
        <v>16</v>
      </c>
      <c r="T148" s="80">
        <v>2022</v>
      </c>
      <c r="U148" s="81">
        <v>2</v>
      </c>
      <c r="V148" s="208">
        <f t="shared" si="8"/>
        <v>44608</v>
      </c>
      <c r="W148" s="71">
        <v>16</v>
      </c>
      <c r="X148" s="82" t="s">
        <v>66</v>
      </c>
    </row>
    <row r="149" spans="19:24">
      <c r="S149" s="71">
        <v>23</v>
      </c>
      <c r="T149" s="80">
        <v>2022</v>
      </c>
      <c r="U149" s="81">
        <v>2</v>
      </c>
      <c r="V149" s="208">
        <f t="shared" si="8"/>
        <v>44615</v>
      </c>
      <c r="W149" s="71">
        <v>23</v>
      </c>
      <c r="X149" s="82" t="s">
        <v>66</v>
      </c>
    </row>
    <row r="150" spans="19:24">
      <c r="S150" s="71">
        <v>27</v>
      </c>
      <c r="T150" s="80">
        <v>2022</v>
      </c>
      <c r="U150" s="81">
        <v>2</v>
      </c>
      <c r="V150" s="208">
        <f t="shared" si="8"/>
        <v>44619</v>
      </c>
      <c r="W150" s="71">
        <v>27</v>
      </c>
      <c r="X150" s="82" t="s">
        <v>61</v>
      </c>
    </row>
    <row r="151" spans="19:24">
      <c r="S151" s="71">
        <v>7</v>
      </c>
      <c r="T151" s="80">
        <v>2022</v>
      </c>
      <c r="U151" s="81">
        <v>3</v>
      </c>
      <c r="V151" s="208">
        <f t="shared" si="8"/>
        <v>44627</v>
      </c>
      <c r="W151" s="71">
        <v>7</v>
      </c>
      <c r="X151" s="82" t="s">
        <v>76</v>
      </c>
    </row>
    <row r="152" spans="19:24">
      <c r="S152" s="71">
        <v>16</v>
      </c>
      <c r="T152" s="80">
        <v>2022</v>
      </c>
      <c r="U152" s="81">
        <v>3</v>
      </c>
      <c r="V152" s="208">
        <f t="shared" si="8"/>
        <v>44636</v>
      </c>
      <c r="W152" s="71">
        <v>16</v>
      </c>
      <c r="X152" s="82" t="s">
        <v>66</v>
      </c>
    </row>
    <row r="153" spans="19:24">
      <c r="S153" s="71">
        <v>23</v>
      </c>
      <c r="T153" s="80">
        <v>2022</v>
      </c>
      <c r="U153" s="81">
        <v>3</v>
      </c>
      <c r="V153" s="208">
        <f t="shared" si="8"/>
        <v>44643</v>
      </c>
      <c r="W153" s="71">
        <v>23</v>
      </c>
      <c r="X153" s="82" t="s">
        <v>66</v>
      </c>
    </row>
    <row r="154" spans="19:24">
      <c r="S154" s="71">
        <v>27</v>
      </c>
      <c r="T154" s="80">
        <v>2022</v>
      </c>
      <c r="U154" s="81">
        <v>3</v>
      </c>
      <c r="V154" s="208">
        <f t="shared" si="8"/>
        <v>44647</v>
      </c>
      <c r="W154" s="71">
        <v>27</v>
      </c>
      <c r="X154" s="82" t="s">
        <v>61</v>
      </c>
    </row>
    <row r="155" spans="19:24">
      <c r="S155" s="71">
        <v>7</v>
      </c>
      <c r="T155" s="80">
        <v>2022</v>
      </c>
      <c r="U155" s="81">
        <v>4</v>
      </c>
      <c r="V155" s="208">
        <f t="shared" si="8"/>
        <v>44658</v>
      </c>
      <c r="W155" s="71">
        <v>7</v>
      </c>
      <c r="X155" s="82" t="s">
        <v>62</v>
      </c>
    </row>
    <row r="156" spans="19:24">
      <c r="S156" s="71">
        <v>16</v>
      </c>
      <c r="T156" s="80">
        <v>2022</v>
      </c>
      <c r="U156" s="81">
        <v>4</v>
      </c>
      <c r="V156" s="208">
        <f t="shared" si="8"/>
        <v>44667</v>
      </c>
      <c r="W156" s="71">
        <v>16</v>
      </c>
      <c r="X156" s="83" t="s">
        <v>97</v>
      </c>
    </row>
    <row r="157" spans="19:24">
      <c r="S157" s="71">
        <v>23</v>
      </c>
      <c r="T157" s="80">
        <v>2022</v>
      </c>
      <c r="U157" s="81">
        <v>4</v>
      </c>
      <c r="V157" s="208">
        <f t="shared" si="8"/>
        <v>44674</v>
      </c>
      <c r="W157" s="71">
        <v>23</v>
      </c>
      <c r="X157" s="83" t="s">
        <v>97</v>
      </c>
    </row>
    <row r="158" spans="19:24">
      <c r="S158" s="71">
        <v>27</v>
      </c>
      <c r="T158" s="80">
        <v>2022</v>
      </c>
      <c r="U158" s="81">
        <v>4</v>
      </c>
      <c r="V158" s="208">
        <f t="shared" si="8"/>
        <v>44678</v>
      </c>
      <c r="W158" s="71">
        <v>27</v>
      </c>
      <c r="X158" s="82" t="s">
        <v>66</v>
      </c>
    </row>
    <row r="159" spans="19:24">
      <c r="S159" s="71">
        <v>7</v>
      </c>
      <c r="T159" s="80">
        <v>2022</v>
      </c>
      <c r="U159" s="81">
        <v>5</v>
      </c>
      <c r="V159" s="208">
        <f t="shared" si="8"/>
        <v>44688</v>
      </c>
      <c r="W159" s="71">
        <v>7</v>
      </c>
      <c r="X159" s="83" t="s">
        <v>97</v>
      </c>
    </row>
    <row r="160" spans="19:24">
      <c r="S160" s="71">
        <v>16</v>
      </c>
      <c r="T160" s="80">
        <v>2022</v>
      </c>
      <c r="U160" s="81">
        <v>5</v>
      </c>
      <c r="V160" s="208">
        <f t="shared" si="8"/>
        <v>44697</v>
      </c>
      <c r="W160" s="71">
        <v>16</v>
      </c>
      <c r="X160" s="82" t="s">
        <v>76</v>
      </c>
    </row>
    <row r="161" spans="19:24">
      <c r="S161" s="71">
        <v>23</v>
      </c>
      <c r="T161" s="80">
        <v>2022</v>
      </c>
      <c r="U161" s="81">
        <v>5</v>
      </c>
      <c r="V161" s="208">
        <f t="shared" si="8"/>
        <v>44704</v>
      </c>
      <c r="W161" s="71">
        <v>23</v>
      </c>
      <c r="X161" s="82" t="s">
        <v>76</v>
      </c>
    </row>
    <row r="162" spans="19:24">
      <c r="S162" s="71">
        <v>27</v>
      </c>
      <c r="T162" s="80">
        <v>2022</v>
      </c>
      <c r="U162" s="81">
        <v>5</v>
      </c>
      <c r="V162" s="208">
        <f t="shared" si="8"/>
        <v>44708</v>
      </c>
      <c r="W162" s="71">
        <v>27</v>
      </c>
      <c r="X162" s="82" t="s">
        <v>64</v>
      </c>
    </row>
    <row r="163" spans="19:24">
      <c r="S163" s="71">
        <v>7</v>
      </c>
      <c r="T163" s="80">
        <v>2022</v>
      </c>
      <c r="U163" s="81">
        <v>6</v>
      </c>
      <c r="V163" s="208">
        <f t="shared" si="8"/>
        <v>44719</v>
      </c>
      <c r="W163" s="71">
        <v>7</v>
      </c>
      <c r="X163" s="82" t="s">
        <v>69</v>
      </c>
    </row>
    <row r="164" spans="19:24">
      <c r="S164" s="71">
        <v>16</v>
      </c>
      <c r="T164" s="80">
        <v>2022</v>
      </c>
      <c r="U164" s="81">
        <v>6</v>
      </c>
      <c r="V164" s="208">
        <f t="shared" si="8"/>
        <v>44728</v>
      </c>
      <c r="W164" s="71">
        <v>16</v>
      </c>
      <c r="X164" s="82" t="s">
        <v>62</v>
      </c>
    </row>
    <row r="165" spans="19:24">
      <c r="S165" s="71">
        <v>23</v>
      </c>
      <c r="T165" s="80">
        <v>2022</v>
      </c>
      <c r="U165" s="81">
        <v>6</v>
      </c>
      <c r="V165" s="208">
        <f t="shared" si="8"/>
        <v>44735</v>
      </c>
      <c r="W165" s="71">
        <v>23</v>
      </c>
      <c r="X165" s="82" t="s">
        <v>62</v>
      </c>
    </row>
    <row r="166" spans="19:24">
      <c r="S166" s="71">
        <v>27</v>
      </c>
      <c r="T166" s="80">
        <v>2022</v>
      </c>
      <c r="U166" s="81">
        <v>6</v>
      </c>
      <c r="V166" s="208">
        <f t="shared" si="8"/>
        <v>44739</v>
      </c>
      <c r="W166" s="71">
        <v>27</v>
      </c>
      <c r="X166" s="82" t="s">
        <v>76</v>
      </c>
    </row>
    <row r="167" spans="19:24">
      <c r="S167" s="71">
        <v>7</v>
      </c>
      <c r="T167" s="80">
        <v>2022</v>
      </c>
      <c r="U167" s="81">
        <v>7</v>
      </c>
      <c r="V167" s="208">
        <f t="shared" si="8"/>
        <v>44749</v>
      </c>
      <c r="W167" s="71">
        <v>7</v>
      </c>
      <c r="X167" s="82" t="s">
        <v>62</v>
      </c>
    </row>
    <row r="168" spans="19:24">
      <c r="S168" s="71">
        <v>16</v>
      </c>
      <c r="T168" s="80">
        <v>2022</v>
      </c>
      <c r="U168" s="81">
        <v>7</v>
      </c>
      <c r="V168" s="208">
        <f t="shared" si="8"/>
        <v>44758</v>
      </c>
      <c r="W168" s="71">
        <v>16</v>
      </c>
      <c r="X168" s="83" t="s">
        <v>97</v>
      </c>
    </row>
    <row r="169" spans="19:24">
      <c r="S169" s="71">
        <v>23</v>
      </c>
      <c r="T169" s="80">
        <v>2022</v>
      </c>
      <c r="U169" s="81">
        <v>7</v>
      </c>
      <c r="V169" s="208">
        <f t="shared" si="8"/>
        <v>44765</v>
      </c>
      <c r="W169" s="71">
        <v>23</v>
      </c>
      <c r="X169" s="83" t="s">
        <v>97</v>
      </c>
    </row>
    <row r="170" spans="19:24">
      <c r="S170" s="71">
        <v>27</v>
      </c>
      <c r="T170" s="80">
        <v>2022</v>
      </c>
      <c r="U170" s="81">
        <v>7</v>
      </c>
      <c r="V170" s="208">
        <f t="shared" si="8"/>
        <v>44769</v>
      </c>
      <c r="W170" s="71">
        <v>27</v>
      </c>
      <c r="X170" s="82" t="s">
        <v>66</v>
      </c>
    </row>
    <row r="171" spans="19:24">
      <c r="S171" s="71">
        <v>7</v>
      </c>
      <c r="T171" s="80">
        <v>2022</v>
      </c>
      <c r="U171" s="81">
        <v>8</v>
      </c>
      <c r="V171" s="208">
        <f t="shared" si="8"/>
        <v>44780</v>
      </c>
      <c r="W171" s="71">
        <v>7</v>
      </c>
      <c r="X171" s="82" t="s">
        <v>61</v>
      </c>
    </row>
    <row r="172" spans="19:24">
      <c r="S172" s="71">
        <v>16</v>
      </c>
      <c r="T172" s="80">
        <v>2022</v>
      </c>
      <c r="U172" s="81">
        <v>8</v>
      </c>
      <c r="V172" s="208">
        <f t="shared" si="8"/>
        <v>44789</v>
      </c>
      <c r="W172" s="71">
        <v>16</v>
      </c>
      <c r="X172" s="82" t="s">
        <v>69</v>
      </c>
    </row>
    <row r="173" spans="19:24">
      <c r="S173" s="71">
        <v>23</v>
      </c>
      <c r="T173" s="80">
        <v>2022</v>
      </c>
      <c r="U173" s="81">
        <v>8</v>
      </c>
      <c r="V173" s="208">
        <f t="shared" si="8"/>
        <v>44796</v>
      </c>
      <c r="W173" s="71">
        <v>23</v>
      </c>
      <c r="X173" s="82" t="s">
        <v>69</v>
      </c>
    </row>
    <row r="174" spans="19:24">
      <c r="S174" s="71">
        <v>27</v>
      </c>
      <c r="T174" s="80">
        <v>2022</v>
      </c>
      <c r="U174" s="81">
        <v>8</v>
      </c>
      <c r="V174" s="208">
        <f t="shared" si="8"/>
        <v>44800</v>
      </c>
      <c r="W174" s="71">
        <v>27</v>
      </c>
      <c r="X174" s="83" t="s">
        <v>97</v>
      </c>
    </row>
    <row r="175" spans="19:24">
      <c r="S175" s="71">
        <v>7</v>
      </c>
      <c r="T175" s="80">
        <v>2022</v>
      </c>
      <c r="U175" s="81">
        <v>9</v>
      </c>
      <c r="V175" s="208">
        <f t="shared" si="8"/>
        <v>44811</v>
      </c>
      <c r="W175" s="71">
        <v>7</v>
      </c>
      <c r="X175" s="82" t="s">
        <v>66</v>
      </c>
    </row>
    <row r="176" spans="19:24">
      <c r="S176" s="71">
        <v>16</v>
      </c>
      <c r="T176" s="80">
        <v>2022</v>
      </c>
      <c r="U176" s="81">
        <v>9</v>
      </c>
      <c r="V176" s="208">
        <f t="shared" si="8"/>
        <v>44820</v>
      </c>
      <c r="W176" s="71">
        <v>16</v>
      </c>
      <c r="X176" s="82" t="s">
        <v>64</v>
      </c>
    </row>
    <row r="177" spans="19:24">
      <c r="S177" s="71">
        <v>23</v>
      </c>
      <c r="T177" s="80">
        <v>2022</v>
      </c>
      <c r="U177" s="81">
        <v>9</v>
      </c>
      <c r="V177" s="208">
        <f t="shared" si="8"/>
        <v>44827</v>
      </c>
      <c r="W177" s="71">
        <v>23</v>
      </c>
      <c r="X177" s="82" t="s">
        <v>64</v>
      </c>
    </row>
    <row r="178" spans="19:24">
      <c r="S178" s="71">
        <v>27</v>
      </c>
      <c r="T178" s="80">
        <v>2022</v>
      </c>
      <c r="U178" s="81">
        <v>9</v>
      </c>
      <c r="V178" s="208">
        <f t="shared" si="8"/>
        <v>44831</v>
      </c>
      <c r="W178" s="71">
        <v>27</v>
      </c>
      <c r="X178" s="82" t="s">
        <v>69</v>
      </c>
    </row>
    <row r="179" spans="19:24">
      <c r="S179" s="71">
        <v>7</v>
      </c>
      <c r="T179" s="80">
        <v>2022</v>
      </c>
      <c r="U179" s="81">
        <v>10</v>
      </c>
      <c r="V179" s="208">
        <f t="shared" si="8"/>
        <v>44841</v>
      </c>
      <c r="W179" s="71">
        <v>7</v>
      </c>
      <c r="X179" s="82" t="s">
        <v>64</v>
      </c>
    </row>
    <row r="180" spans="19:24">
      <c r="S180" s="71">
        <v>16</v>
      </c>
      <c r="T180" s="80">
        <v>2022</v>
      </c>
      <c r="U180" s="81">
        <v>10</v>
      </c>
      <c r="V180" s="208">
        <f t="shared" si="8"/>
        <v>44850</v>
      </c>
      <c r="W180" s="71">
        <v>16</v>
      </c>
      <c r="X180" s="82" t="s">
        <v>61</v>
      </c>
    </row>
    <row r="181" spans="19:24">
      <c r="S181" s="71">
        <v>23</v>
      </c>
      <c r="T181" s="80">
        <v>2022</v>
      </c>
      <c r="U181" s="81">
        <v>10</v>
      </c>
      <c r="V181" s="208">
        <f t="shared" si="8"/>
        <v>44857</v>
      </c>
      <c r="W181" s="71">
        <v>23</v>
      </c>
      <c r="X181" s="82" t="s">
        <v>61</v>
      </c>
    </row>
    <row r="182" spans="19:24">
      <c r="S182" s="71">
        <v>27</v>
      </c>
      <c r="T182" s="80">
        <v>2022</v>
      </c>
      <c r="U182" s="81">
        <v>10</v>
      </c>
      <c r="V182" s="208">
        <f t="shared" si="8"/>
        <v>44861</v>
      </c>
      <c r="W182" s="71">
        <v>27</v>
      </c>
      <c r="X182" s="82" t="s">
        <v>62</v>
      </c>
    </row>
    <row r="183" spans="19:24">
      <c r="S183" s="71">
        <v>7</v>
      </c>
      <c r="T183" s="80">
        <v>2022</v>
      </c>
      <c r="U183" s="81">
        <v>11</v>
      </c>
      <c r="V183" s="208">
        <f t="shared" si="8"/>
        <v>44872</v>
      </c>
      <c r="W183" s="71">
        <v>7</v>
      </c>
      <c r="X183" s="82" t="s">
        <v>76</v>
      </c>
    </row>
    <row r="184" spans="19:24">
      <c r="S184" s="71">
        <v>16</v>
      </c>
      <c r="T184" s="80">
        <v>2022</v>
      </c>
      <c r="U184" s="81">
        <v>11</v>
      </c>
      <c r="V184" s="208">
        <f t="shared" si="8"/>
        <v>44881</v>
      </c>
      <c r="W184" s="71">
        <v>16</v>
      </c>
      <c r="X184" s="82" t="s">
        <v>66</v>
      </c>
    </row>
    <row r="185" spans="19:24">
      <c r="S185" s="71">
        <v>23</v>
      </c>
      <c r="T185" s="80">
        <v>2022</v>
      </c>
      <c r="U185" s="81">
        <v>11</v>
      </c>
      <c r="V185" s="208">
        <f t="shared" si="8"/>
        <v>44888</v>
      </c>
      <c r="W185" s="71">
        <v>23</v>
      </c>
      <c r="X185" s="82" t="s">
        <v>66</v>
      </c>
    </row>
    <row r="186" spans="19:24">
      <c r="S186" s="71">
        <v>27</v>
      </c>
      <c r="T186" s="80">
        <v>2022</v>
      </c>
      <c r="U186" s="81">
        <v>11</v>
      </c>
      <c r="V186" s="208">
        <f t="shared" si="8"/>
        <v>44892</v>
      </c>
      <c r="W186" s="71">
        <v>27</v>
      </c>
      <c r="X186" s="82" t="s">
        <v>61</v>
      </c>
    </row>
    <row r="187" spans="19:24">
      <c r="S187" s="71">
        <v>7</v>
      </c>
      <c r="T187" s="80">
        <v>2022</v>
      </c>
      <c r="U187" s="81">
        <v>12</v>
      </c>
      <c r="V187" s="208">
        <f t="shared" si="8"/>
        <v>44902</v>
      </c>
      <c r="W187" s="71">
        <v>7</v>
      </c>
      <c r="X187" s="82" t="s">
        <v>66</v>
      </c>
    </row>
    <row r="188" spans="19:24">
      <c r="S188" s="71">
        <v>16</v>
      </c>
      <c r="T188" s="80">
        <v>2022</v>
      </c>
      <c r="U188" s="81">
        <v>12</v>
      </c>
      <c r="V188" s="208">
        <f t="shared" si="8"/>
        <v>44911</v>
      </c>
      <c r="W188" s="71">
        <v>16</v>
      </c>
      <c r="X188" s="82" t="s">
        <v>64</v>
      </c>
    </row>
    <row r="189" spans="19:24">
      <c r="S189" s="71">
        <v>23</v>
      </c>
      <c r="T189" s="80">
        <v>2022</v>
      </c>
      <c r="U189" s="81">
        <v>12</v>
      </c>
      <c r="V189" s="208">
        <f t="shared" si="8"/>
        <v>44918</v>
      </c>
      <c r="W189" s="71">
        <v>23</v>
      </c>
      <c r="X189" s="82" t="s">
        <v>64</v>
      </c>
    </row>
    <row r="190" spans="19:24">
      <c r="S190" s="71">
        <v>27</v>
      </c>
      <c r="T190" s="80">
        <v>2022</v>
      </c>
      <c r="U190" s="81">
        <v>12</v>
      </c>
      <c r="V190" s="208">
        <f t="shared" si="8"/>
        <v>44922</v>
      </c>
      <c r="W190" s="71">
        <v>27</v>
      </c>
      <c r="X190" s="82" t="s">
        <v>69</v>
      </c>
    </row>
    <row r="191" spans="19:24">
      <c r="S191" s="71">
        <v>7</v>
      </c>
      <c r="T191" s="80">
        <v>2023</v>
      </c>
      <c r="U191" s="81">
        <v>1</v>
      </c>
      <c r="V191" s="208">
        <f t="shared" si="8"/>
        <v>44933</v>
      </c>
      <c r="W191" s="71">
        <v>7</v>
      </c>
      <c r="X191" s="83" t="s">
        <v>97</v>
      </c>
    </row>
    <row r="192" spans="19:24">
      <c r="S192" s="71">
        <v>16</v>
      </c>
      <c r="T192" s="80">
        <v>2023</v>
      </c>
      <c r="U192" s="81">
        <v>1</v>
      </c>
      <c r="V192" s="208">
        <f t="shared" si="8"/>
        <v>44942</v>
      </c>
      <c r="W192" s="71">
        <v>16</v>
      </c>
      <c r="X192" s="82" t="s">
        <v>76</v>
      </c>
    </row>
    <row r="193" spans="19:24">
      <c r="S193" s="71">
        <v>23</v>
      </c>
      <c r="T193" s="80">
        <v>2023</v>
      </c>
      <c r="U193" s="81">
        <v>1</v>
      </c>
      <c r="V193" s="208">
        <f t="shared" si="8"/>
        <v>44949</v>
      </c>
      <c r="W193" s="71">
        <v>23</v>
      </c>
      <c r="X193" s="82" t="s">
        <v>76</v>
      </c>
    </row>
    <row r="194" spans="19:24">
      <c r="S194" s="71">
        <v>27</v>
      </c>
      <c r="T194" s="80">
        <v>2023</v>
      </c>
      <c r="U194" s="81">
        <v>1</v>
      </c>
      <c r="V194" s="208">
        <f t="shared" si="8"/>
        <v>44953</v>
      </c>
      <c r="W194" s="71">
        <v>27</v>
      </c>
      <c r="X194" s="82" t="s">
        <v>64</v>
      </c>
    </row>
    <row r="195" spans="19:24">
      <c r="S195" s="71">
        <v>7</v>
      </c>
      <c r="T195" s="80">
        <v>2023</v>
      </c>
      <c r="U195" s="81">
        <v>2</v>
      </c>
      <c r="V195" s="208">
        <f t="shared" ref="V195:V258" si="9">DATE(T195,U195,S195)</f>
        <v>44964</v>
      </c>
      <c r="W195" s="71">
        <v>7</v>
      </c>
      <c r="X195" s="82" t="s">
        <v>69</v>
      </c>
    </row>
    <row r="196" spans="19:24">
      <c r="S196" s="71">
        <v>16</v>
      </c>
      <c r="T196" s="80">
        <v>2023</v>
      </c>
      <c r="U196" s="81">
        <v>2</v>
      </c>
      <c r="V196" s="208">
        <f t="shared" si="9"/>
        <v>44973</v>
      </c>
      <c r="W196" s="71">
        <v>16</v>
      </c>
      <c r="X196" s="82" t="s">
        <v>62</v>
      </c>
    </row>
    <row r="197" spans="19:24">
      <c r="S197" s="71">
        <v>23</v>
      </c>
      <c r="T197" s="80">
        <v>2023</v>
      </c>
      <c r="U197" s="81">
        <v>2</v>
      </c>
      <c r="V197" s="208">
        <f t="shared" si="9"/>
        <v>44980</v>
      </c>
      <c r="W197" s="71">
        <v>23</v>
      </c>
      <c r="X197" s="82" t="s">
        <v>62</v>
      </c>
    </row>
    <row r="198" spans="19:24">
      <c r="S198" s="71">
        <v>27</v>
      </c>
      <c r="T198" s="80">
        <v>2023</v>
      </c>
      <c r="U198" s="81">
        <v>2</v>
      </c>
      <c r="V198" s="208">
        <f t="shared" si="9"/>
        <v>44984</v>
      </c>
      <c r="W198" s="71">
        <v>27</v>
      </c>
      <c r="X198" s="82" t="s">
        <v>76</v>
      </c>
    </row>
    <row r="199" spans="19:24">
      <c r="S199" s="71">
        <v>7</v>
      </c>
      <c r="T199" s="80">
        <v>2023</v>
      </c>
      <c r="U199" s="81">
        <v>3</v>
      </c>
      <c r="V199" s="208">
        <f t="shared" si="9"/>
        <v>44992</v>
      </c>
      <c r="W199" s="71">
        <v>7</v>
      </c>
      <c r="X199" s="82" t="s">
        <v>69</v>
      </c>
    </row>
    <row r="200" spans="19:24">
      <c r="S200" s="71">
        <v>16</v>
      </c>
      <c r="T200" s="80">
        <v>2023</v>
      </c>
      <c r="U200" s="81">
        <v>3</v>
      </c>
      <c r="V200" s="208">
        <f t="shared" si="9"/>
        <v>45001</v>
      </c>
      <c r="W200" s="71">
        <v>16</v>
      </c>
      <c r="X200" s="82" t="s">
        <v>62</v>
      </c>
    </row>
    <row r="201" spans="19:24">
      <c r="S201" s="71">
        <v>23</v>
      </c>
      <c r="T201" s="80">
        <v>2023</v>
      </c>
      <c r="U201" s="81">
        <v>3</v>
      </c>
      <c r="V201" s="208">
        <f t="shared" si="9"/>
        <v>45008</v>
      </c>
      <c r="W201" s="71">
        <v>23</v>
      </c>
      <c r="X201" s="82" t="s">
        <v>62</v>
      </c>
    </row>
    <row r="202" spans="19:24">
      <c r="S202" s="71">
        <v>27</v>
      </c>
      <c r="T202" s="80">
        <v>2023</v>
      </c>
      <c r="U202" s="81">
        <v>3</v>
      </c>
      <c r="V202" s="208">
        <f t="shared" si="9"/>
        <v>45012</v>
      </c>
      <c r="W202" s="71">
        <v>27</v>
      </c>
      <c r="X202" s="82" t="s">
        <v>76</v>
      </c>
    </row>
    <row r="203" spans="19:24">
      <c r="S203" s="71">
        <v>7</v>
      </c>
      <c r="T203" s="80">
        <v>2023</v>
      </c>
      <c r="U203" s="81">
        <v>4</v>
      </c>
      <c r="V203" s="208">
        <f t="shared" si="9"/>
        <v>45023</v>
      </c>
      <c r="W203" s="71">
        <v>7</v>
      </c>
      <c r="X203" s="82" t="s">
        <v>64</v>
      </c>
    </row>
    <row r="204" spans="19:24">
      <c r="S204" s="71">
        <v>16</v>
      </c>
      <c r="T204" s="80">
        <v>2023</v>
      </c>
      <c r="U204" s="81">
        <v>4</v>
      </c>
      <c r="V204" s="208">
        <f t="shared" si="9"/>
        <v>45032</v>
      </c>
      <c r="W204" s="71">
        <v>16</v>
      </c>
      <c r="X204" s="82" t="s">
        <v>61</v>
      </c>
    </row>
    <row r="205" spans="19:24">
      <c r="S205" s="71">
        <v>23</v>
      </c>
      <c r="T205" s="80">
        <v>2023</v>
      </c>
      <c r="U205" s="81">
        <v>4</v>
      </c>
      <c r="V205" s="208">
        <f t="shared" si="9"/>
        <v>45039</v>
      </c>
      <c r="W205" s="71">
        <v>23</v>
      </c>
      <c r="X205" s="82" t="s">
        <v>61</v>
      </c>
    </row>
    <row r="206" spans="19:24">
      <c r="S206" s="71">
        <v>27</v>
      </c>
      <c r="T206" s="80">
        <v>2023</v>
      </c>
      <c r="U206" s="81">
        <v>4</v>
      </c>
      <c r="V206" s="208">
        <f t="shared" si="9"/>
        <v>45043</v>
      </c>
      <c r="W206" s="71">
        <v>27</v>
      </c>
      <c r="X206" s="82" t="s">
        <v>62</v>
      </c>
    </row>
    <row r="207" spans="19:24">
      <c r="S207" s="71">
        <v>7</v>
      </c>
      <c r="T207" s="80">
        <v>2023</v>
      </c>
      <c r="U207" s="81">
        <v>5</v>
      </c>
      <c r="V207" s="208">
        <f t="shared" si="9"/>
        <v>45053</v>
      </c>
      <c r="W207" s="71">
        <v>7</v>
      </c>
      <c r="X207" s="82" t="s">
        <v>61</v>
      </c>
    </row>
    <row r="208" spans="19:24">
      <c r="S208" s="71">
        <v>16</v>
      </c>
      <c r="T208" s="80">
        <v>2023</v>
      </c>
      <c r="U208" s="81">
        <v>5</v>
      </c>
      <c r="V208" s="208">
        <f t="shared" si="9"/>
        <v>45062</v>
      </c>
      <c r="W208" s="71">
        <v>16</v>
      </c>
      <c r="X208" s="82" t="s">
        <v>69</v>
      </c>
    </row>
    <row r="209" spans="19:26">
      <c r="S209" s="71">
        <v>23</v>
      </c>
      <c r="T209" s="80">
        <v>2023</v>
      </c>
      <c r="U209" s="81">
        <v>5</v>
      </c>
      <c r="V209" s="208">
        <f t="shared" si="9"/>
        <v>45069</v>
      </c>
      <c r="W209" s="71">
        <v>23</v>
      </c>
      <c r="X209" s="82" t="s">
        <v>69</v>
      </c>
    </row>
    <row r="210" spans="19:26">
      <c r="S210" s="71">
        <v>27</v>
      </c>
      <c r="T210" s="80">
        <v>2023</v>
      </c>
      <c r="U210" s="81">
        <v>5</v>
      </c>
      <c r="V210" s="208">
        <f t="shared" si="9"/>
        <v>45073</v>
      </c>
      <c r="W210" s="71">
        <v>27</v>
      </c>
      <c r="X210" s="83" t="s">
        <v>97</v>
      </c>
    </row>
    <row r="211" spans="19:26">
      <c r="S211" s="71">
        <v>7</v>
      </c>
      <c r="T211" s="80">
        <v>2023</v>
      </c>
      <c r="U211" s="81">
        <v>6</v>
      </c>
      <c r="V211" s="208">
        <f t="shared" si="9"/>
        <v>45084</v>
      </c>
      <c r="W211" s="71">
        <v>7</v>
      </c>
      <c r="X211" s="82" t="s">
        <v>66</v>
      </c>
    </row>
    <row r="212" spans="19:26">
      <c r="S212" s="71">
        <v>16</v>
      </c>
      <c r="T212" s="80">
        <v>2023</v>
      </c>
      <c r="U212" s="81">
        <v>6</v>
      </c>
      <c r="V212" s="208">
        <f t="shared" si="9"/>
        <v>45093</v>
      </c>
      <c r="W212" s="71">
        <v>16</v>
      </c>
      <c r="X212" s="82" t="s">
        <v>64</v>
      </c>
    </row>
    <row r="213" spans="19:26">
      <c r="S213" s="71">
        <v>23</v>
      </c>
      <c r="T213" s="80">
        <v>2023</v>
      </c>
      <c r="U213" s="81">
        <v>6</v>
      </c>
      <c r="V213" s="208">
        <f t="shared" si="9"/>
        <v>45100</v>
      </c>
      <c r="W213" s="71">
        <v>23</v>
      </c>
      <c r="X213" s="82" t="s">
        <v>64</v>
      </c>
    </row>
    <row r="214" spans="19:26">
      <c r="S214" s="71">
        <v>27</v>
      </c>
      <c r="T214" s="80">
        <v>2023</v>
      </c>
      <c r="U214" s="81">
        <v>6</v>
      </c>
      <c r="V214" s="208">
        <f t="shared" si="9"/>
        <v>45104</v>
      </c>
      <c r="W214" s="71">
        <v>27</v>
      </c>
      <c r="X214" s="82" t="s">
        <v>69</v>
      </c>
    </row>
    <row r="215" spans="19:26">
      <c r="S215" s="71">
        <v>7</v>
      </c>
      <c r="T215" s="80">
        <v>2023</v>
      </c>
      <c r="U215" s="81">
        <v>7</v>
      </c>
      <c r="V215" s="208">
        <f t="shared" si="9"/>
        <v>45114</v>
      </c>
      <c r="W215" s="71">
        <v>7</v>
      </c>
      <c r="X215" s="82" t="s">
        <v>64</v>
      </c>
    </row>
    <row r="216" spans="19:26">
      <c r="S216" s="71">
        <v>16</v>
      </c>
      <c r="T216" s="80">
        <v>2023</v>
      </c>
      <c r="U216" s="81">
        <v>7</v>
      </c>
      <c r="V216" s="208">
        <f t="shared" si="9"/>
        <v>45123</v>
      </c>
      <c r="W216" s="71">
        <v>16</v>
      </c>
      <c r="X216" s="82" t="s">
        <v>61</v>
      </c>
    </row>
    <row r="217" spans="19:26">
      <c r="S217" s="71">
        <v>23</v>
      </c>
      <c r="T217" s="80">
        <v>2023</v>
      </c>
      <c r="U217" s="81">
        <v>7</v>
      </c>
      <c r="V217" s="208">
        <f t="shared" si="9"/>
        <v>45130</v>
      </c>
      <c r="W217" s="71">
        <v>23</v>
      </c>
      <c r="X217" s="82" t="s">
        <v>61</v>
      </c>
    </row>
    <row r="218" spans="19:26">
      <c r="S218" s="71">
        <v>27</v>
      </c>
      <c r="T218" s="80">
        <v>2023</v>
      </c>
      <c r="U218" s="81">
        <v>7</v>
      </c>
      <c r="V218" s="208">
        <f t="shared" si="9"/>
        <v>45134</v>
      </c>
      <c r="W218" s="71">
        <v>27</v>
      </c>
      <c r="X218" s="82" t="s">
        <v>62</v>
      </c>
      <c r="Y218" s="74">
        <v>45161</v>
      </c>
      <c r="Z218" s="74">
        <f>DATE(YEAR(Y218)+1/12,MONTH(Y218),DAY(Y218))</f>
        <v>45161</v>
      </c>
    </row>
    <row r="219" spans="19:26">
      <c r="S219" s="71">
        <v>7</v>
      </c>
      <c r="T219" s="80">
        <v>2023</v>
      </c>
      <c r="U219" s="81">
        <v>8</v>
      </c>
      <c r="V219" s="208">
        <f t="shared" si="9"/>
        <v>45145</v>
      </c>
      <c r="W219" s="71">
        <v>7</v>
      </c>
      <c r="X219" s="82" t="s">
        <v>76</v>
      </c>
      <c r="Y219" s="74" t="s">
        <v>98</v>
      </c>
      <c r="Z219" s="74">
        <f t="shared" ref="Z219:Z282" si="10">DATE(YEAR(Y219)+1/12,MONTH(Y219),DAY(Y219))</f>
        <v>45170</v>
      </c>
    </row>
    <row r="220" spans="19:26">
      <c r="S220" s="71">
        <v>16</v>
      </c>
      <c r="T220" s="80">
        <v>2023</v>
      </c>
      <c r="U220" s="81">
        <v>8</v>
      </c>
      <c r="V220" s="208">
        <f t="shared" si="9"/>
        <v>45154</v>
      </c>
      <c r="W220" s="71">
        <v>16</v>
      </c>
      <c r="X220" s="82" t="s">
        <v>66</v>
      </c>
      <c r="Y220" s="74" t="s">
        <v>99</v>
      </c>
      <c r="Z220" s="74">
        <f t="shared" si="10"/>
        <v>45177</v>
      </c>
    </row>
    <row r="221" spans="19:26">
      <c r="S221" s="71">
        <v>23</v>
      </c>
      <c r="T221" s="80">
        <v>2023</v>
      </c>
      <c r="U221" s="81">
        <v>8</v>
      </c>
      <c r="V221" s="208">
        <f t="shared" si="9"/>
        <v>45161</v>
      </c>
      <c r="W221" s="71">
        <v>23</v>
      </c>
      <c r="X221" s="82" t="s">
        <v>66</v>
      </c>
      <c r="Y221" s="74" t="s">
        <v>100</v>
      </c>
      <c r="Z221" s="74">
        <f t="shared" si="10"/>
        <v>45184</v>
      </c>
    </row>
    <row r="222" spans="19:26">
      <c r="S222" s="71">
        <v>27</v>
      </c>
      <c r="T222" s="80">
        <v>2023</v>
      </c>
      <c r="U222" s="81">
        <v>8</v>
      </c>
      <c r="V222" s="208">
        <f t="shared" si="9"/>
        <v>45165</v>
      </c>
      <c r="W222" s="71">
        <v>27</v>
      </c>
      <c r="X222" s="82" t="s">
        <v>61</v>
      </c>
      <c r="Y222" s="74" t="s">
        <v>101</v>
      </c>
      <c r="Z222" s="74">
        <f t="shared" si="10"/>
        <v>45192</v>
      </c>
    </row>
    <row r="223" spans="19:26">
      <c r="S223" s="71">
        <v>7</v>
      </c>
      <c r="T223" s="80">
        <v>2023</v>
      </c>
      <c r="U223" s="81">
        <v>9</v>
      </c>
      <c r="V223" s="208">
        <f t="shared" si="9"/>
        <v>45176</v>
      </c>
      <c r="W223" s="71">
        <v>7</v>
      </c>
      <c r="X223" s="82" t="s">
        <v>62</v>
      </c>
      <c r="Y223" s="74" t="s">
        <v>102</v>
      </c>
      <c r="Z223" s="74">
        <f t="shared" si="10"/>
        <v>45200</v>
      </c>
    </row>
    <row r="224" spans="19:26">
      <c r="S224" s="71">
        <v>16</v>
      </c>
      <c r="T224" s="80">
        <v>2023</v>
      </c>
      <c r="U224" s="81">
        <v>9</v>
      </c>
      <c r="V224" s="208">
        <f t="shared" si="9"/>
        <v>45185</v>
      </c>
      <c r="W224" s="71">
        <v>16</v>
      </c>
      <c r="X224" s="83" t="s">
        <v>97</v>
      </c>
      <c r="Y224" s="74" t="s">
        <v>103</v>
      </c>
      <c r="Z224" s="74">
        <f t="shared" si="10"/>
        <v>45207</v>
      </c>
    </row>
    <row r="225" spans="19:26">
      <c r="S225" s="71">
        <v>23</v>
      </c>
      <c r="T225" s="80">
        <v>2023</v>
      </c>
      <c r="U225" s="81">
        <v>9</v>
      </c>
      <c r="V225" s="208">
        <f t="shared" si="9"/>
        <v>45192</v>
      </c>
      <c r="W225" s="71">
        <v>23</v>
      </c>
      <c r="X225" s="83" t="s">
        <v>97</v>
      </c>
      <c r="Y225" s="74" t="s">
        <v>104</v>
      </c>
      <c r="Z225" s="74">
        <f t="shared" si="10"/>
        <v>45214</v>
      </c>
    </row>
    <row r="226" spans="19:26">
      <c r="S226" s="71">
        <v>27</v>
      </c>
      <c r="T226" s="80">
        <v>2023</v>
      </c>
      <c r="U226" s="81">
        <v>9</v>
      </c>
      <c r="V226" s="208">
        <f t="shared" si="9"/>
        <v>45196</v>
      </c>
      <c r="W226" s="71">
        <v>27</v>
      </c>
      <c r="X226" s="82" t="s">
        <v>66</v>
      </c>
      <c r="Y226" s="74" t="s">
        <v>105</v>
      </c>
      <c r="Z226" s="74">
        <f t="shared" si="10"/>
        <v>45222</v>
      </c>
    </row>
    <row r="227" spans="19:26">
      <c r="S227" s="71">
        <v>7</v>
      </c>
      <c r="T227" s="80">
        <v>2023</v>
      </c>
      <c r="U227" s="81">
        <v>10</v>
      </c>
      <c r="V227" s="208">
        <f t="shared" si="9"/>
        <v>45206</v>
      </c>
      <c r="W227" s="71">
        <v>7</v>
      </c>
      <c r="X227" s="83" t="s">
        <v>97</v>
      </c>
      <c r="Y227" s="74" t="s">
        <v>106</v>
      </c>
      <c r="Z227" s="74">
        <f t="shared" si="10"/>
        <v>45231</v>
      </c>
    </row>
    <row r="228" spans="19:26">
      <c r="S228" s="71">
        <v>16</v>
      </c>
      <c r="T228" s="80">
        <v>2023</v>
      </c>
      <c r="U228" s="81">
        <v>10</v>
      </c>
      <c r="V228" s="208">
        <f t="shared" si="9"/>
        <v>45215</v>
      </c>
      <c r="W228" s="71">
        <v>16</v>
      </c>
      <c r="X228" s="82" t="s">
        <v>76</v>
      </c>
      <c r="Y228" s="74" t="s">
        <v>107</v>
      </c>
      <c r="Z228" s="74">
        <f t="shared" si="10"/>
        <v>45238</v>
      </c>
    </row>
    <row r="229" spans="19:26">
      <c r="S229" s="71">
        <v>23</v>
      </c>
      <c r="T229" s="80">
        <v>2023</v>
      </c>
      <c r="U229" s="81">
        <v>10</v>
      </c>
      <c r="V229" s="208">
        <f t="shared" si="9"/>
        <v>45222</v>
      </c>
      <c r="W229" s="71">
        <v>23</v>
      </c>
      <c r="X229" s="82" t="s">
        <v>76</v>
      </c>
      <c r="Y229" s="74" t="s">
        <v>108</v>
      </c>
      <c r="Z229" s="74">
        <f t="shared" si="10"/>
        <v>45245</v>
      </c>
    </row>
    <row r="230" spans="19:26">
      <c r="S230" s="71">
        <v>27</v>
      </c>
      <c r="T230" s="80">
        <v>2023</v>
      </c>
      <c r="U230" s="81">
        <v>10</v>
      </c>
      <c r="V230" s="208">
        <f t="shared" si="9"/>
        <v>45226</v>
      </c>
      <c r="W230" s="71">
        <v>27</v>
      </c>
      <c r="X230" s="82" t="s">
        <v>64</v>
      </c>
      <c r="Y230" s="74" t="s">
        <v>109</v>
      </c>
      <c r="Z230" s="74">
        <f t="shared" si="10"/>
        <v>45253</v>
      </c>
    </row>
    <row r="231" spans="19:26">
      <c r="S231" s="71">
        <v>7</v>
      </c>
      <c r="T231" s="80">
        <v>2023</v>
      </c>
      <c r="U231" s="81">
        <v>11</v>
      </c>
      <c r="V231" s="208">
        <f t="shared" si="9"/>
        <v>45237</v>
      </c>
      <c r="W231" s="71">
        <v>7</v>
      </c>
      <c r="X231" s="82" t="s">
        <v>69</v>
      </c>
      <c r="Y231" s="74" t="s">
        <v>110</v>
      </c>
      <c r="Z231" s="74">
        <f t="shared" si="10"/>
        <v>45261</v>
      </c>
    </row>
    <row r="232" spans="19:26">
      <c r="S232" s="71">
        <v>16</v>
      </c>
      <c r="T232" s="80">
        <v>2023</v>
      </c>
      <c r="U232" s="81">
        <v>11</v>
      </c>
      <c r="V232" s="208">
        <f t="shared" si="9"/>
        <v>45246</v>
      </c>
      <c r="W232" s="71">
        <v>16</v>
      </c>
      <c r="X232" s="82" t="s">
        <v>62</v>
      </c>
      <c r="Y232" s="74" t="s">
        <v>111</v>
      </c>
      <c r="Z232" s="74">
        <f t="shared" si="10"/>
        <v>45268</v>
      </c>
    </row>
    <row r="233" spans="19:26">
      <c r="S233" s="71">
        <v>23</v>
      </c>
      <c r="T233" s="80">
        <v>2023</v>
      </c>
      <c r="U233" s="81">
        <v>11</v>
      </c>
      <c r="V233" s="208">
        <f t="shared" si="9"/>
        <v>45253</v>
      </c>
      <c r="W233" s="71">
        <v>23</v>
      </c>
      <c r="X233" s="82" t="s">
        <v>62</v>
      </c>
      <c r="Y233" s="74" t="s">
        <v>112</v>
      </c>
      <c r="Z233" s="74">
        <f t="shared" si="10"/>
        <v>45275</v>
      </c>
    </row>
    <row r="234" spans="19:26">
      <c r="S234" s="71">
        <v>27</v>
      </c>
      <c r="T234" s="80">
        <v>2023</v>
      </c>
      <c r="U234" s="81">
        <v>11</v>
      </c>
      <c r="V234" s="208">
        <f t="shared" si="9"/>
        <v>45257</v>
      </c>
      <c r="W234" s="71">
        <v>27</v>
      </c>
      <c r="X234" s="82" t="s">
        <v>76</v>
      </c>
      <c r="Y234" s="74" t="s">
        <v>113</v>
      </c>
      <c r="Z234" s="74">
        <f t="shared" si="10"/>
        <v>45283</v>
      </c>
    </row>
    <row r="235" spans="19:26">
      <c r="S235" s="71">
        <v>7</v>
      </c>
      <c r="T235" s="80">
        <v>2023</v>
      </c>
      <c r="U235" s="81">
        <v>12</v>
      </c>
      <c r="V235" s="208">
        <f t="shared" si="9"/>
        <v>45267</v>
      </c>
      <c r="W235" s="71">
        <v>7</v>
      </c>
      <c r="X235" s="82" t="s">
        <v>62</v>
      </c>
      <c r="Y235" s="74" t="s">
        <v>114</v>
      </c>
      <c r="Z235" s="74">
        <f t="shared" si="10"/>
        <v>45292</v>
      </c>
    </row>
    <row r="236" spans="19:26">
      <c r="S236" s="71">
        <v>16</v>
      </c>
      <c r="T236" s="80">
        <v>2023</v>
      </c>
      <c r="U236" s="81">
        <v>12</v>
      </c>
      <c r="V236" s="208">
        <f t="shared" si="9"/>
        <v>45276</v>
      </c>
      <c r="W236" s="71">
        <v>16</v>
      </c>
      <c r="X236" s="83" t="s">
        <v>97</v>
      </c>
      <c r="Y236" s="74" t="s">
        <v>115</v>
      </c>
      <c r="Z236" s="74">
        <f t="shared" si="10"/>
        <v>45299</v>
      </c>
    </row>
    <row r="237" spans="19:26">
      <c r="S237" s="84">
        <v>23</v>
      </c>
      <c r="T237" s="85">
        <v>2023</v>
      </c>
      <c r="U237" s="86">
        <v>12</v>
      </c>
      <c r="V237" s="208">
        <f t="shared" si="9"/>
        <v>45283</v>
      </c>
      <c r="W237" s="71">
        <v>23</v>
      </c>
      <c r="X237" s="83" t="s">
        <v>97</v>
      </c>
      <c r="Y237" s="74" t="s">
        <v>116</v>
      </c>
      <c r="Z237" s="74">
        <f t="shared" si="10"/>
        <v>45306</v>
      </c>
    </row>
    <row r="238" spans="19:26">
      <c r="S238" s="87">
        <v>27</v>
      </c>
      <c r="T238" s="88">
        <v>2023</v>
      </c>
      <c r="U238" s="89">
        <v>12</v>
      </c>
      <c r="V238" s="208">
        <f t="shared" si="9"/>
        <v>45287</v>
      </c>
      <c r="W238" s="71">
        <v>27</v>
      </c>
      <c r="X238" s="82" t="s">
        <v>66</v>
      </c>
      <c r="Y238" s="74" t="s">
        <v>117</v>
      </c>
      <c r="Z238" s="74">
        <f t="shared" si="10"/>
        <v>45314</v>
      </c>
    </row>
    <row r="239" spans="19:26">
      <c r="S239" s="87">
        <v>7</v>
      </c>
      <c r="T239" s="88">
        <v>2024</v>
      </c>
      <c r="U239" s="89">
        <v>1</v>
      </c>
      <c r="V239" s="208">
        <f t="shared" si="9"/>
        <v>45298</v>
      </c>
      <c r="W239" s="71">
        <v>7</v>
      </c>
      <c r="X239" s="82" t="s">
        <v>61</v>
      </c>
      <c r="Y239" s="74" t="s">
        <v>118</v>
      </c>
      <c r="Z239" s="74">
        <f t="shared" si="10"/>
        <v>45323</v>
      </c>
    </row>
    <row r="240" spans="19:26">
      <c r="S240" s="87">
        <v>16</v>
      </c>
      <c r="T240" s="88">
        <v>2024</v>
      </c>
      <c r="U240" s="89">
        <v>1</v>
      </c>
      <c r="V240" s="208">
        <f t="shared" si="9"/>
        <v>45307</v>
      </c>
      <c r="W240" s="71">
        <v>16</v>
      </c>
      <c r="X240" s="82" t="s">
        <v>69</v>
      </c>
      <c r="Y240" s="74" t="s">
        <v>119</v>
      </c>
      <c r="Z240" s="74">
        <f t="shared" si="10"/>
        <v>45330</v>
      </c>
    </row>
    <row r="241" spans="19:26">
      <c r="S241" s="87">
        <v>23</v>
      </c>
      <c r="T241" s="88">
        <v>2024</v>
      </c>
      <c r="U241" s="89">
        <v>1</v>
      </c>
      <c r="V241" s="208">
        <f t="shared" si="9"/>
        <v>45314</v>
      </c>
      <c r="W241" s="71">
        <v>23</v>
      </c>
      <c r="X241" s="82" t="s">
        <v>69</v>
      </c>
      <c r="Y241" s="74" t="s">
        <v>120</v>
      </c>
      <c r="Z241" s="74">
        <f t="shared" si="10"/>
        <v>45337</v>
      </c>
    </row>
    <row r="242" spans="19:26">
      <c r="S242" s="87">
        <v>27</v>
      </c>
      <c r="T242" s="88">
        <v>2024</v>
      </c>
      <c r="U242" s="89">
        <v>1</v>
      </c>
      <c r="V242" s="208">
        <f t="shared" si="9"/>
        <v>45318</v>
      </c>
      <c r="W242" s="71">
        <v>27</v>
      </c>
      <c r="X242" s="82" t="s">
        <v>121</v>
      </c>
      <c r="Y242" s="74" t="s">
        <v>122</v>
      </c>
      <c r="Z242" s="74">
        <f t="shared" si="10"/>
        <v>45345</v>
      </c>
    </row>
    <row r="243" spans="19:26">
      <c r="S243" s="87">
        <v>7</v>
      </c>
      <c r="T243" s="88">
        <v>2024</v>
      </c>
      <c r="U243" s="89">
        <v>2</v>
      </c>
      <c r="V243" s="208">
        <f t="shared" si="9"/>
        <v>45329</v>
      </c>
      <c r="W243" s="71">
        <v>7</v>
      </c>
      <c r="X243" s="82" t="s">
        <v>66</v>
      </c>
      <c r="Y243" s="74" t="s">
        <v>123</v>
      </c>
      <c r="Z243" s="74">
        <f t="shared" si="10"/>
        <v>45352</v>
      </c>
    </row>
    <row r="244" spans="19:26">
      <c r="S244" s="87">
        <v>16</v>
      </c>
      <c r="T244" s="88">
        <v>2024</v>
      </c>
      <c r="U244" s="89">
        <v>2</v>
      </c>
      <c r="V244" s="208">
        <f t="shared" si="9"/>
        <v>45338</v>
      </c>
      <c r="W244" s="71">
        <v>16</v>
      </c>
      <c r="X244" s="82" t="s">
        <v>64</v>
      </c>
      <c r="Y244" s="74" t="s">
        <v>124</v>
      </c>
      <c r="Z244" s="74">
        <f t="shared" si="10"/>
        <v>45359</v>
      </c>
    </row>
    <row r="245" spans="19:26">
      <c r="S245" s="87">
        <v>23</v>
      </c>
      <c r="T245" s="88">
        <v>2024</v>
      </c>
      <c r="U245" s="89">
        <v>2</v>
      </c>
      <c r="V245" s="208">
        <f t="shared" si="9"/>
        <v>45345</v>
      </c>
      <c r="W245" s="71">
        <v>23</v>
      </c>
      <c r="X245" s="82" t="s">
        <v>64</v>
      </c>
      <c r="Y245" s="74" t="s">
        <v>125</v>
      </c>
      <c r="Z245" s="74">
        <f t="shared" si="10"/>
        <v>45366</v>
      </c>
    </row>
    <row r="246" spans="19:26">
      <c r="S246" s="87">
        <v>27</v>
      </c>
      <c r="T246" s="88">
        <v>2024</v>
      </c>
      <c r="U246" s="89">
        <v>2</v>
      </c>
      <c r="V246" s="208">
        <f t="shared" si="9"/>
        <v>45349</v>
      </c>
      <c r="W246" s="71">
        <v>27</v>
      </c>
      <c r="X246" s="82" t="s">
        <v>69</v>
      </c>
      <c r="Y246" s="74" t="s">
        <v>126</v>
      </c>
      <c r="Z246" s="74">
        <f t="shared" si="10"/>
        <v>45374</v>
      </c>
    </row>
    <row r="247" spans="19:26">
      <c r="S247" s="87">
        <v>7</v>
      </c>
      <c r="T247" s="88">
        <v>2024</v>
      </c>
      <c r="U247" s="89">
        <v>3</v>
      </c>
      <c r="V247" s="208">
        <f t="shared" si="9"/>
        <v>45358</v>
      </c>
      <c r="W247" s="71">
        <v>7</v>
      </c>
      <c r="X247" s="82" t="s">
        <v>62</v>
      </c>
      <c r="Y247" s="74" t="s">
        <v>127</v>
      </c>
      <c r="Z247" s="74">
        <f t="shared" si="10"/>
        <v>45383</v>
      </c>
    </row>
    <row r="248" spans="19:26">
      <c r="S248" s="87">
        <v>16</v>
      </c>
      <c r="T248" s="88">
        <v>2024</v>
      </c>
      <c r="U248" s="89">
        <v>3</v>
      </c>
      <c r="V248" s="208">
        <f t="shared" si="9"/>
        <v>45367</v>
      </c>
      <c r="W248" s="71">
        <v>16</v>
      </c>
      <c r="X248" s="82" t="s">
        <v>121</v>
      </c>
      <c r="Y248" s="74" t="s">
        <v>128</v>
      </c>
      <c r="Z248" s="74">
        <f t="shared" si="10"/>
        <v>45390</v>
      </c>
    </row>
    <row r="249" spans="19:26">
      <c r="S249" s="87">
        <v>23</v>
      </c>
      <c r="T249" s="88">
        <v>2024</v>
      </c>
      <c r="U249" s="89">
        <v>3</v>
      </c>
      <c r="V249" s="208">
        <f t="shared" si="9"/>
        <v>45374</v>
      </c>
      <c r="W249" s="71">
        <v>23</v>
      </c>
      <c r="X249" s="82" t="s">
        <v>121</v>
      </c>
      <c r="Y249" s="74" t="s">
        <v>129</v>
      </c>
      <c r="Z249" s="74">
        <f t="shared" si="10"/>
        <v>45397</v>
      </c>
    </row>
    <row r="250" spans="19:26">
      <c r="S250" s="87">
        <v>27</v>
      </c>
      <c r="T250" s="88">
        <v>2024</v>
      </c>
      <c r="U250" s="89">
        <v>3</v>
      </c>
      <c r="V250" s="208">
        <f t="shared" si="9"/>
        <v>45378</v>
      </c>
      <c r="W250" s="71">
        <v>27</v>
      </c>
      <c r="X250" s="82" t="s">
        <v>66</v>
      </c>
      <c r="Y250" s="74" t="s">
        <v>130</v>
      </c>
      <c r="Z250" s="74">
        <f t="shared" si="10"/>
        <v>45405</v>
      </c>
    </row>
    <row r="251" spans="19:26">
      <c r="S251" s="87">
        <v>7</v>
      </c>
      <c r="T251" s="88">
        <v>2024</v>
      </c>
      <c r="U251" s="89">
        <v>4</v>
      </c>
      <c r="V251" s="208">
        <f t="shared" si="9"/>
        <v>45389</v>
      </c>
      <c r="W251" s="71">
        <v>7</v>
      </c>
      <c r="X251" s="82" t="s">
        <v>61</v>
      </c>
      <c r="Y251" s="74" t="s">
        <v>131</v>
      </c>
      <c r="Z251" s="74">
        <f t="shared" si="10"/>
        <v>45413</v>
      </c>
    </row>
    <row r="252" spans="19:26">
      <c r="S252" s="87">
        <v>16</v>
      </c>
      <c r="T252" s="88">
        <v>2024</v>
      </c>
      <c r="U252" s="89">
        <v>4</v>
      </c>
      <c r="V252" s="208">
        <f t="shared" si="9"/>
        <v>45398</v>
      </c>
      <c r="W252" s="71">
        <v>16</v>
      </c>
      <c r="X252" s="82" t="s">
        <v>69</v>
      </c>
      <c r="Y252" s="74" t="s">
        <v>132</v>
      </c>
      <c r="Z252" s="74">
        <f t="shared" si="10"/>
        <v>45420</v>
      </c>
    </row>
    <row r="253" spans="19:26">
      <c r="S253" s="87">
        <v>23</v>
      </c>
      <c r="T253" s="88">
        <v>2024</v>
      </c>
      <c r="U253" s="89">
        <v>4</v>
      </c>
      <c r="V253" s="208">
        <f t="shared" si="9"/>
        <v>45405</v>
      </c>
      <c r="W253" s="71">
        <v>23</v>
      </c>
      <c r="X253" s="82" t="s">
        <v>69</v>
      </c>
      <c r="Y253" s="74" t="s">
        <v>133</v>
      </c>
      <c r="Z253" s="74">
        <f t="shared" si="10"/>
        <v>45427</v>
      </c>
    </row>
    <row r="254" spans="19:26">
      <c r="S254" s="87">
        <v>27</v>
      </c>
      <c r="T254" s="88">
        <v>2024</v>
      </c>
      <c r="U254" s="89">
        <v>4</v>
      </c>
      <c r="V254" s="208">
        <f t="shared" si="9"/>
        <v>45409</v>
      </c>
      <c r="W254" s="71">
        <v>27</v>
      </c>
      <c r="X254" s="82" t="s">
        <v>121</v>
      </c>
      <c r="Y254" s="74" t="s">
        <v>134</v>
      </c>
      <c r="Z254" s="74">
        <f t="shared" si="10"/>
        <v>45435</v>
      </c>
    </row>
    <row r="255" spans="19:26">
      <c r="S255" s="87">
        <v>7</v>
      </c>
      <c r="T255" s="88">
        <v>2024</v>
      </c>
      <c r="U255" s="89">
        <v>5</v>
      </c>
      <c r="V255" s="208">
        <f t="shared" si="9"/>
        <v>45419</v>
      </c>
      <c r="W255" s="71">
        <v>7</v>
      </c>
      <c r="X255" s="82" t="s">
        <v>69</v>
      </c>
      <c r="Y255" s="74" t="s">
        <v>135</v>
      </c>
      <c r="Z255" s="74">
        <f t="shared" si="10"/>
        <v>45444</v>
      </c>
    </row>
    <row r="256" spans="19:26">
      <c r="S256" s="87">
        <v>16</v>
      </c>
      <c r="T256" s="88">
        <v>2024</v>
      </c>
      <c r="U256" s="89">
        <v>5</v>
      </c>
      <c r="V256" s="208">
        <f t="shared" si="9"/>
        <v>45428</v>
      </c>
      <c r="W256" s="71">
        <v>16</v>
      </c>
      <c r="X256" s="82" t="s">
        <v>62</v>
      </c>
      <c r="Y256" s="74" t="s">
        <v>136</v>
      </c>
      <c r="Z256" s="74">
        <f t="shared" si="10"/>
        <v>45451</v>
      </c>
    </row>
    <row r="257" spans="19:26">
      <c r="S257" s="87">
        <v>23</v>
      </c>
      <c r="T257" s="88">
        <v>2024</v>
      </c>
      <c r="U257" s="89">
        <v>5</v>
      </c>
      <c r="V257" s="208">
        <f t="shared" si="9"/>
        <v>45435</v>
      </c>
      <c r="W257" s="71">
        <v>23</v>
      </c>
      <c r="X257" s="82" t="s">
        <v>62</v>
      </c>
      <c r="Y257" s="74" t="s">
        <v>137</v>
      </c>
      <c r="Z257" s="74">
        <f t="shared" si="10"/>
        <v>45458</v>
      </c>
    </row>
    <row r="258" spans="19:26">
      <c r="S258" s="87">
        <v>27</v>
      </c>
      <c r="T258" s="88">
        <v>2024</v>
      </c>
      <c r="U258" s="89">
        <v>5</v>
      </c>
      <c r="V258" s="208">
        <f t="shared" si="9"/>
        <v>45439</v>
      </c>
      <c r="W258" s="71">
        <v>27</v>
      </c>
      <c r="X258" s="82" t="s">
        <v>76</v>
      </c>
      <c r="Y258" s="74" t="s">
        <v>138</v>
      </c>
      <c r="Z258" s="74">
        <f t="shared" si="10"/>
        <v>45466</v>
      </c>
    </row>
    <row r="259" spans="19:26">
      <c r="S259" s="87">
        <v>7</v>
      </c>
      <c r="T259" s="88">
        <v>2024</v>
      </c>
      <c r="U259" s="89">
        <v>6</v>
      </c>
      <c r="V259" s="208">
        <f t="shared" ref="V259:V322" si="11">DATE(T259,U259,S259)</f>
        <v>45450</v>
      </c>
      <c r="W259" s="71">
        <v>7</v>
      </c>
      <c r="X259" s="82" t="s">
        <v>64</v>
      </c>
      <c r="Y259" s="74" t="s">
        <v>139</v>
      </c>
      <c r="Z259" s="74">
        <f t="shared" si="10"/>
        <v>45474</v>
      </c>
    </row>
    <row r="260" spans="19:26">
      <c r="S260" s="87">
        <v>16</v>
      </c>
      <c r="T260" s="88">
        <v>2024</v>
      </c>
      <c r="U260" s="89">
        <v>6</v>
      </c>
      <c r="V260" s="208">
        <f t="shared" si="11"/>
        <v>45459</v>
      </c>
      <c r="W260" s="71">
        <v>16</v>
      </c>
      <c r="X260" s="82" t="s">
        <v>61</v>
      </c>
      <c r="Y260" s="74" t="s">
        <v>140</v>
      </c>
      <c r="Z260" s="74">
        <f t="shared" si="10"/>
        <v>45481</v>
      </c>
    </row>
    <row r="261" spans="19:26">
      <c r="S261" s="87">
        <v>23</v>
      </c>
      <c r="T261" s="88">
        <v>2024</v>
      </c>
      <c r="U261" s="89">
        <v>6</v>
      </c>
      <c r="V261" s="208">
        <f t="shared" si="11"/>
        <v>45466</v>
      </c>
      <c r="W261" s="71">
        <v>23</v>
      </c>
      <c r="X261" s="82" t="s">
        <v>61</v>
      </c>
      <c r="Y261" s="74" t="s">
        <v>141</v>
      </c>
      <c r="Z261" s="74">
        <f t="shared" si="10"/>
        <v>45488</v>
      </c>
    </row>
    <row r="262" spans="19:26">
      <c r="S262" s="87">
        <v>27</v>
      </c>
      <c r="T262" s="88">
        <v>2024</v>
      </c>
      <c r="U262" s="89">
        <v>6</v>
      </c>
      <c r="V262" s="208">
        <f t="shared" si="11"/>
        <v>45470</v>
      </c>
      <c r="W262" s="71">
        <v>27</v>
      </c>
      <c r="X262" s="82" t="s">
        <v>62</v>
      </c>
      <c r="Y262" s="74" t="s">
        <v>142</v>
      </c>
      <c r="Z262" s="74">
        <f t="shared" si="10"/>
        <v>45496</v>
      </c>
    </row>
    <row r="263" spans="19:26">
      <c r="S263" s="87">
        <v>7</v>
      </c>
      <c r="T263" s="88">
        <v>2024</v>
      </c>
      <c r="U263" s="89">
        <v>7</v>
      </c>
      <c r="V263" s="208">
        <f t="shared" si="11"/>
        <v>45480</v>
      </c>
      <c r="W263" s="71">
        <v>7</v>
      </c>
      <c r="X263" s="82" t="s">
        <v>61</v>
      </c>
      <c r="Y263" s="74" t="s">
        <v>143</v>
      </c>
      <c r="Z263" s="74">
        <f t="shared" si="10"/>
        <v>45505</v>
      </c>
    </row>
    <row r="264" spans="19:26">
      <c r="S264" s="87">
        <v>16</v>
      </c>
      <c r="T264" s="88">
        <v>2024</v>
      </c>
      <c r="U264" s="89">
        <v>7</v>
      </c>
      <c r="V264" s="208">
        <f t="shared" si="11"/>
        <v>45489</v>
      </c>
      <c r="W264" s="71">
        <v>16</v>
      </c>
      <c r="X264" s="82" t="s">
        <v>69</v>
      </c>
      <c r="Y264" s="74" t="s">
        <v>144</v>
      </c>
      <c r="Z264" s="74">
        <f t="shared" si="10"/>
        <v>45512</v>
      </c>
    </row>
    <row r="265" spans="19:26">
      <c r="S265" s="87">
        <v>23</v>
      </c>
      <c r="T265" s="88">
        <v>2024</v>
      </c>
      <c r="U265" s="89">
        <v>7</v>
      </c>
      <c r="V265" s="208">
        <f t="shared" si="11"/>
        <v>45496</v>
      </c>
      <c r="W265" s="71">
        <v>23</v>
      </c>
      <c r="X265" s="82" t="s">
        <v>69</v>
      </c>
      <c r="Y265" s="74" t="s">
        <v>145</v>
      </c>
      <c r="Z265" s="74">
        <f t="shared" si="10"/>
        <v>45519</v>
      </c>
    </row>
    <row r="266" spans="19:26">
      <c r="S266" s="87">
        <v>27</v>
      </c>
      <c r="T266" s="88">
        <v>2024</v>
      </c>
      <c r="U266" s="89">
        <v>7</v>
      </c>
      <c r="V266" s="208">
        <f t="shared" si="11"/>
        <v>45500</v>
      </c>
      <c r="W266" s="71">
        <v>27</v>
      </c>
      <c r="X266" s="82" t="s">
        <v>121</v>
      </c>
      <c r="Y266" s="74" t="s">
        <v>146</v>
      </c>
      <c r="Z266" s="74">
        <f t="shared" si="10"/>
        <v>45527</v>
      </c>
    </row>
    <row r="267" spans="19:26">
      <c r="S267" s="87">
        <v>7</v>
      </c>
      <c r="T267" s="88">
        <v>2024</v>
      </c>
      <c r="U267" s="89">
        <v>8</v>
      </c>
      <c r="V267" s="208">
        <f t="shared" si="11"/>
        <v>45511</v>
      </c>
      <c r="W267" s="71">
        <v>7</v>
      </c>
      <c r="X267" s="82" t="s">
        <v>66</v>
      </c>
      <c r="Y267" s="74" t="s">
        <v>147</v>
      </c>
      <c r="Z267" s="74">
        <f t="shared" si="10"/>
        <v>45536</v>
      </c>
    </row>
    <row r="268" spans="19:26">
      <c r="S268" s="87">
        <v>16</v>
      </c>
      <c r="T268" s="88">
        <v>2024</v>
      </c>
      <c r="U268" s="89">
        <v>8</v>
      </c>
      <c r="V268" s="208">
        <f t="shared" si="11"/>
        <v>45520</v>
      </c>
      <c r="W268" s="71">
        <v>16</v>
      </c>
      <c r="X268" s="82" t="s">
        <v>64</v>
      </c>
      <c r="Y268" s="74" t="s">
        <v>148</v>
      </c>
      <c r="Z268" s="74">
        <f t="shared" si="10"/>
        <v>45543</v>
      </c>
    </row>
    <row r="269" spans="19:26">
      <c r="S269" s="87">
        <v>23</v>
      </c>
      <c r="T269" s="88">
        <v>2024</v>
      </c>
      <c r="U269" s="89">
        <v>8</v>
      </c>
      <c r="V269" s="208">
        <f t="shared" si="11"/>
        <v>45527</v>
      </c>
      <c r="W269" s="71">
        <v>23</v>
      </c>
      <c r="X269" s="82" t="s">
        <v>64</v>
      </c>
      <c r="Y269" s="74" t="s">
        <v>149</v>
      </c>
      <c r="Z269" s="74">
        <f t="shared" si="10"/>
        <v>45550</v>
      </c>
    </row>
    <row r="270" spans="19:26">
      <c r="S270" s="87">
        <v>27</v>
      </c>
      <c r="T270" s="88">
        <v>2024</v>
      </c>
      <c r="U270" s="89">
        <v>8</v>
      </c>
      <c r="V270" s="208">
        <f t="shared" si="11"/>
        <v>45531</v>
      </c>
      <c r="W270" s="71">
        <v>27</v>
      </c>
      <c r="X270" s="82" t="s">
        <v>69</v>
      </c>
      <c r="Y270" s="74" t="s">
        <v>150</v>
      </c>
      <c r="Z270" s="74">
        <f t="shared" si="10"/>
        <v>45558</v>
      </c>
    </row>
    <row r="271" spans="19:26">
      <c r="S271" s="87">
        <v>7</v>
      </c>
      <c r="T271" s="88">
        <v>2024</v>
      </c>
      <c r="U271" s="89">
        <v>9</v>
      </c>
      <c r="V271" s="208">
        <f t="shared" si="11"/>
        <v>45542</v>
      </c>
      <c r="W271" s="71">
        <v>7</v>
      </c>
      <c r="X271" s="82" t="s">
        <v>121</v>
      </c>
      <c r="Y271" s="74" t="s">
        <v>151</v>
      </c>
      <c r="Z271" s="74">
        <f t="shared" si="10"/>
        <v>45566</v>
      </c>
    </row>
    <row r="272" spans="19:26">
      <c r="S272" s="87">
        <v>16</v>
      </c>
      <c r="T272" s="88">
        <v>2024</v>
      </c>
      <c r="U272" s="89">
        <v>9</v>
      </c>
      <c r="V272" s="208">
        <f t="shared" si="11"/>
        <v>45551</v>
      </c>
      <c r="W272" s="71">
        <v>16</v>
      </c>
      <c r="X272" s="82" t="s">
        <v>76</v>
      </c>
      <c r="Y272" s="74" t="s">
        <v>152</v>
      </c>
      <c r="Z272" s="74">
        <f t="shared" si="10"/>
        <v>45573</v>
      </c>
    </row>
    <row r="273" spans="19:26">
      <c r="S273" s="87">
        <v>23</v>
      </c>
      <c r="T273" s="88">
        <v>2024</v>
      </c>
      <c r="U273" s="89">
        <v>9</v>
      </c>
      <c r="V273" s="208">
        <f t="shared" si="11"/>
        <v>45558</v>
      </c>
      <c r="W273" s="71">
        <v>23</v>
      </c>
      <c r="X273" s="82" t="s">
        <v>76</v>
      </c>
      <c r="Y273" s="74" t="s">
        <v>153</v>
      </c>
      <c r="Z273" s="74">
        <f t="shared" si="10"/>
        <v>45580</v>
      </c>
    </row>
    <row r="274" spans="19:26">
      <c r="S274" s="87">
        <v>27</v>
      </c>
      <c r="T274" s="88">
        <v>2024</v>
      </c>
      <c r="U274" s="89">
        <v>9</v>
      </c>
      <c r="V274" s="208">
        <f t="shared" si="11"/>
        <v>45562</v>
      </c>
      <c r="W274" s="71">
        <v>27</v>
      </c>
      <c r="X274" s="82" t="s">
        <v>64</v>
      </c>
      <c r="Y274" s="74" t="s">
        <v>154</v>
      </c>
      <c r="Z274" s="74">
        <f t="shared" si="10"/>
        <v>45588</v>
      </c>
    </row>
    <row r="275" spans="19:26">
      <c r="S275" s="87">
        <v>7</v>
      </c>
      <c r="T275" s="88">
        <v>2024</v>
      </c>
      <c r="U275" s="89">
        <v>10</v>
      </c>
      <c r="V275" s="208">
        <f t="shared" si="11"/>
        <v>45572</v>
      </c>
      <c r="W275" s="71">
        <v>7</v>
      </c>
      <c r="X275" s="82" t="s">
        <v>76</v>
      </c>
      <c r="Y275" s="74" t="s">
        <v>155</v>
      </c>
      <c r="Z275" s="74">
        <f t="shared" si="10"/>
        <v>45597</v>
      </c>
    </row>
    <row r="276" spans="19:26">
      <c r="S276" s="87">
        <v>16</v>
      </c>
      <c r="T276" s="88">
        <v>2024</v>
      </c>
      <c r="U276" s="89">
        <v>10</v>
      </c>
      <c r="V276" s="208">
        <f t="shared" si="11"/>
        <v>45581</v>
      </c>
      <c r="W276" s="71">
        <v>16</v>
      </c>
      <c r="X276" s="82" t="s">
        <v>66</v>
      </c>
      <c r="Y276" s="74" t="s">
        <v>156</v>
      </c>
      <c r="Z276" s="74">
        <f t="shared" si="10"/>
        <v>45604</v>
      </c>
    </row>
    <row r="277" spans="19:26">
      <c r="S277" s="87">
        <v>23</v>
      </c>
      <c r="T277" s="88">
        <v>2024</v>
      </c>
      <c r="U277" s="89">
        <v>10</v>
      </c>
      <c r="V277" s="208">
        <f t="shared" si="11"/>
        <v>45588</v>
      </c>
      <c r="W277" s="71">
        <v>23</v>
      </c>
      <c r="X277" s="82" t="s">
        <v>66</v>
      </c>
      <c r="Y277" s="74" t="s">
        <v>157</v>
      </c>
      <c r="Z277" s="74">
        <f t="shared" si="10"/>
        <v>45611</v>
      </c>
    </row>
    <row r="278" spans="19:26">
      <c r="S278" s="87">
        <v>27</v>
      </c>
      <c r="T278" s="88">
        <v>2024</v>
      </c>
      <c r="U278" s="89">
        <v>10</v>
      </c>
      <c r="V278" s="208">
        <f t="shared" si="11"/>
        <v>45592</v>
      </c>
      <c r="W278" s="71">
        <v>27</v>
      </c>
      <c r="X278" s="82" t="s">
        <v>61</v>
      </c>
      <c r="Y278" s="74" t="s">
        <v>158</v>
      </c>
      <c r="Z278" s="74">
        <f t="shared" si="10"/>
        <v>45619</v>
      </c>
    </row>
    <row r="279" spans="19:26">
      <c r="S279" s="87">
        <v>7</v>
      </c>
      <c r="T279" s="88">
        <v>2024</v>
      </c>
      <c r="U279" s="89">
        <v>11</v>
      </c>
      <c r="V279" s="208">
        <f t="shared" si="11"/>
        <v>45603</v>
      </c>
      <c r="W279" s="71">
        <v>7</v>
      </c>
      <c r="X279" s="82" t="s">
        <v>62</v>
      </c>
      <c r="Y279" s="74" t="s">
        <v>159</v>
      </c>
      <c r="Z279" s="74">
        <f t="shared" si="10"/>
        <v>45627</v>
      </c>
    </row>
    <row r="280" spans="19:26">
      <c r="S280" s="87">
        <v>16</v>
      </c>
      <c r="T280" s="88">
        <v>2024</v>
      </c>
      <c r="U280" s="89">
        <v>11</v>
      </c>
      <c r="V280" s="208">
        <f t="shared" si="11"/>
        <v>45612</v>
      </c>
      <c r="W280" s="71">
        <v>16</v>
      </c>
      <c r="X280" s="82" t="s">
        <v>121</v>
      </c>
      <c r="Y280" s="74" t="s">
        <v>160</v>
      </c>
      <c r="Z280" s="74">
        <f t="shared" si="10"/>
        <v>45634</v>
      </c>
    </row>
    <row r="281" spans="19:26">
      <c r="S281" s="87">
        <v>23</v>
      </c>
      <c r="T281" s="88">
        <v>2024</v>
      </c>
      <c r="U281" s="89">
        <v>11</v>
      </c>
      <c r="V281" s="208">
        <f t="shared" si="11"/>
        <v>45619</v>
      </c>
      <c r="W281" s="71">
        <v>23</v>
      </c>
      <c r="X281" s="82" t="s">
        <v>121</v>
      </c>
      <c r="Y281" s="74" t="s">
        <v>161</v>
      </c>
      <c r="Z281" s="74">
        <f t="shared" si="10"/>
        <v>45641</v>
      </c>
    </row>
    <row r="282" spans="19:26">
      <c r="S282" s="87">
        <v>27</v>
      </c>
      <c r="T282" s="88">
        <v>2024</v>
      </c>
      <c r="U282" s="89">
        <v>11</v>
      </c>
      <c r="V282" s="208">
        <f t="shared" si="11"/>
        <v>45623</v>
      </c>
      <c r="W282" s="71">
        <v>27</v>
      </c>
      <c r="X282" s="82" t="s">
        <v>66</v>
      </c>
      <c r="Y282" s="74" t="s">
        <v>162</v>
      </c>
      <c r="Z282" s="74">
        <f t="shared" si="10"/>
        <v>45649</v>
      </c>
    </row>
    <row r="283" spans="19:26">
      <c r="S283" s="87">
        <v>7</v>
      </c>
      <c r="T283" s="88">
        <v>2024</v>
      </c>
      <c r="U283" s="89">
        <v>12</v>
      </c>
      <c r="V283" s="208">
        <f t="shared" si="11"/>
        <v>45633</v>
      </c>
      <c r="W283" s="71">
        <v>7</v>
      </c>
      <c r="X283" s="82" t="s">
        <v>121</v>
      </c>
      <c r="Y283" s="74" t="s">
        <v>163</v>
      </c>
      <c r="Z283" s="74">
        <f t="shared" ref="Z283:Z346" si="12">DATE(YEAR(Y283)+1/12,MONTH(Y283),DAY(Y283))</f>
        <v>45658</v>
      </c>
    </row>
    <row r="284" spans="19:26">
      <c r="S284" s="87">
        <v>16</v>
      </c>
      <c r="T284" s="88">
        <v>2024</v>
      </c>
      <c r="U284" s="89">
        <v>12</v>
      </c>
      <c r="V284" s="208">
        <f t="shared" si="11"/>
        <v>45642</v>
      </c>
      <c r="W284" s="71">
        <v>16</v>
      </c>
      <c r="X284" s="82" t="s">
        <v>76</v>
      </c>
      <c r="Y284" s="74" t="s">
        <v>164</v>
      </c>
      <c r="Z284" s="74">
        <f t="shared" si="12"/>
        <v>45665</v>
      </c>
    </row>
    <row r="285" spans="19:26">
      <c r="S285" s="90">
        <v>23</v>
      </c>
      <c r="T285" s="88">
        <v>2024</v>
      </c>
      <c r="U285" s="91">
        <v>12</v>
      </c>
      <c r="V285" s="208">
        <f t="shared" si="11"/>
        <v>45649</v>
      </c>
      <c r="W285" s="71">
        <v>23</v>
      </c>
      <c r="X285" s="82" t="s">
        <v>76</v>
      </c>
      <c r="Y285" s="74" t="s">
        <v>165</v>
      </c>
      <c r="Z285" s="74">
        <f t="shared" si="12"/>
        <v>45672</v>
      </c>
    </row>
    <row r="286" spans="19:26">
      <c r="S286" s="87">
        <v>27</v>
      </c>
      <c r="T286" s="88">
        <v>2024</v>
      </c>
      <c r="U286" s="89">
        <v>12</v>
      </c>
      <c r="V286" s="208">
        <f t="shared" si="11"/>
        <v>45653</v>
      </c>
      <c r="W286" s="71">
        <v>27</v>
      </c>
      <c r="X286" s="82" t="s">
        <v>64</v>
      </c>
      <c r="Y286" s="74" t="s">
        <v>166</v>
      </c>
      <c r="Z286" s="74">
        <f t="shared" si="12"/>
        <v>45680</v>
      </c>
    </row>
    <row r="287" spans="19:26">
      <c r="S287" s="87">
        <v>7</v>
      </c>
      <c r="T287" s="88">
        <v>2025</v>
      </c>
      <c r="U287" s="89">
        <v>1</v>
      </c>
      <c r="V287" s="208">
        <f t="shared" si="11"/>
        <v>45664</v>
      </c>
      <c r="W287" s="71">
        <v>7</v>
      </c>
      <c r="X287" s="82" t="s">
        <v>69</v>
      </c>
      <c r="Y287" s="74" t="s">
        <v>167</v>
      </c>
      <c r="Z287" s="74">
        <f t="shared" si="12"/>
        <v>45689</v>
      </c>
    </row>
    <row r="288" spans="19:26">
      <c r="S288" s="87">
        <v>16</v>
      </c>
      <c r="T288" s="88">
        <v>2025</v>
      </c>
      <c r="U288" s="89">
        <v>1</v>
      </c>
      <c r="V288" s="208">
        <f t="shared" si="11"/>
        <v>45673</v>
      </c>
      <c r="W288" s="71">
        <v>16</v>
      </c>
      <c r="X288" s="82" t="s">
        <v>62</v>
      </c>
      <c r="Y288" s="74" t="s">
        <v>168</v>
      </c>
      <c r="Z288" s="74">
        <f t="shared" si="12"/>
        <v>45696</v>
      </c>
    </row>
    <row r="289" spans="19:26">
      <c r="S289" s="87">
        <v>23</v>
      </c>
      <c r="T289" s="88">
        <v>2025</v>
      </c>
      <c r="U289" s="89">
        <v>1</v>
      </c>
      <c r="V289" s="208">
        <f t="shared" si="11"/>
        <v>45680</v>
      </c>
      <c r="W289" s="71">
        <v>23</v>
      </c>
      <c r="X289" s="82" t="s">
        <v>62</v>
      </c>
      <c r="Y289" s="74" t="s">
        <v>169</v>
      </c>
      <c r="Z289" s="74">
        <f t="shared" si="12"/>
        <v>45703</v>
      </c>
    </row>
    <row r="290" spans="19:26">
      <c r="S290" s="87">
        <v>27</v>
      </c>
      <c r="T290" s="88">
        <v>2025</v>
      </c>
      <c r="U290" s="89">
        <v>1</v>
      </c>
      <c r="V290" s="208">
        <f t="shared" si="11"/>
        <v>45684</v>
      </c>
      <c r="W290" s="71">
        <v>27</v>
      </c>
      <c r="X290" s="82" t="s">
        <v>76</v>
      </c>
      <c r="Y290" s="74" t="s">
        <v>170</v>
      </c>
      <c r="Z290" s="74">
        <f t="shared" si="12"/>
        <v>45711</v>
      </c>
    </row>
    <row r="291" spans="19:26">
      <c r="S291" s="87">
        <v>7</v>
      </c>
      <c r="T291" s="88">
        <v>2025</v>
      </c>
      <c r="U291" s="89">
        <v>2</v>
      </c>
      <c r="V291" s="208">
        <f t="shared" si="11"/>
        <v>45695</v>
      </c>
      <c r="W291" s="71">
        <v>7</v>
      </c>
      <c r="X291" s="82" t="s">
        <v>64</v>
      </c>
      <c r="Y291" s="74" t="s">
        <v>171</v>
      </c>
      <c r="Z291" s="74">
        <f t="shared" si="12"/>
        <v>45717</v>
      </c>
    </row>
    <row r="292" spans="19:26">
      <c r="S292" s="87">
        <v>16</v>
      </c>
      <c r="T292" s="88">
        <v>2025</v>
      </c>
      <c r="U292" s="89">
        <v>2</v>
      </c>
      <c r="V292" s="208">
        <f t="shared" si="11"/>
        <v>45704</v>
      </c>
      <c r="W292" s="71">
        <v>16</v>
      </c>
      <c r="X292" s="82" t="s">
        <v>61</v>
      </c>
      <c r="Y292" s="74" t="s">
        <v>172</v>
      </c>
      <c r="Z292" s="74">
        <f t="shared" si="12"/>
        <v>45724</v>
      </c>
    </row>
    <row r="293" spans="19:26">
      <c r="S293" s="87">
        <v>23</v>
      </c>
      <c r="T293" s="88">
        <v>2025</v>
      </c>
      <c r="U293" s="89">
        <v>2</v>
      </c>
      <c r="V293" s="208">
        <f t="shared" si="11"/>
        <v>45711</v>
      </c>
      <c r="W293" s="71">
        <v>23</v>
      </c>
      <c r="X293" s="82" t="s">
        <v>61</v>
      </c>
      <c r="Y293" s="74" t="s">
        <v>173</v>
      </c>
      <c r="Z293" s="74">
        <f t="shared" si="12"/>
        <v>45731</v>
      </c>
    </row>
    <row r="294" spans="19:26">
      <c r="S294" s="87">
        <v>27</v>
      </c>
      <c r="T294" s="88">
        <v>2025</v>
      </c>
      <c r="U294" s="89">
        <v>2</v>
      </c>
      <c r="V294" s="208">
        <f t="shared" si="11"/>
        <v>45715</v>
      </c>
      <c r="W294" s="71">
        <v>27</v>
      </c>
      <c r="X294" s="82" t="s">
        <v>62</v>
      </c>
      <c r="Y294" s="74" t="s">
        <v>174</v>
      </c>
      <c r="Z294" s="74">
        <f t="shared" si="12"/>
        <v>45739</v>
      </c>
    </row>
    <row r="295" spans="19:26">
      <c r="S295" s="87">
        <v>7</v>
      </c>
      <c r="T295" s="88">
        <v>2025</v>
      </c>
      <c r="U295" s="89">
        <v>3</v>
      </c>
      <c r="V295" s="208">
        <f t="shared" si="11"/>
        <v>45723</v>
      </c>
      <c r="W295" s="71">
        <v>7</v>
      </c>
      <c r="X295" s="82" t="s">
        <v>64</v>
      </c>
      <c r="Y295" s="74" t="s">
        <v>175</v>
      </c>
      <c r="Z295" s="74">
        <f t="shared" si="12"/>
        <v>45748</v>
      </c>
    </row>
    <row r="296" spans="19:26">
      <c r="S296" s="87">
        <v>16</v>
      </c>
      <c r="T296" s="88">
        <v>2025</v>
      </c>
      <c r="U296" s="89">
        <v>3</v>
      </c>
      <c r="V296" s="208">
        <f t="shared" si="11"/>
        <v>45732</v>
      </c>
      <c r="W296" s="71">
        <v>16</v>
      </c>
      <c r="X296" s="82" t="s">
        <v>61</v>
      </c>
      <c r="Y296" s="74" t="s">
        <v>176</v>
      </c>
      <c r="Z296" s="74">
        <f t="shared" si="12"/>
        <v>45755</v>
      </c>
    </row>
    <row r="297" spans="19:26">
      <c r="S297" s="87">
        <v>23</v>
      </c>
      <c r="T297" s="88">
        <v>2025</v>
      </c>
      <c r="U297" s="89">
        <v>3</v>
      </c>
      <c r="V297" s="208">
        <f t="shared" si="11"/>
        <v>45739</v>
      </c>
      <c r="W297" s="71">
        <v>23</v>
      </c>
      <c r="X297" s="82" t="s">
        <v>61</v>
      </c>
      <c r="Y297" s="74" t="s">
        <v>177</v>
      </c>
      <c r="Z297" s="74">
        <f t="shared" si="12"/>
        <v>45762</v>
      </c>
    </row>
    <row r="298" spans="19:26">
      <c r="S298" s="87">
        <v>27</v>
      </c>
      <c r="T298" s="88">
        <v>2025</v>
      </c>
      <c r="U298" s="89">
        <v>3</v>
      </c>
      <c r="V298" s="208">
        <f t="shared" si="11"/>
        <v>45743</v>
      </c>
      <c r="W298" s="71">
        <v>27</v>
      </c>
      <c r="X298" s="82" t="s">
        <v>62</v>
      </c>
      <c r="Y298" s="74" t="s">
        <v>178</v>
      </c>
      <c r="Z298" s="74">
        <f t="shared" si="12"/>
        <v>45770</v>
      </c>
    </row>
    <row r="299" spans="19:26">
      <c r="S299" s="87">
        <v>7</v>
      </c>
      <c r="T299" s="88">
        <v>2025</v>
      </c>
      <c r="U299" s="89">
        <v>4</v>
      </c>
      <c r="V299" s="208">
        <f t="shared" si="11"/>
        <v>45754</v>
      </c>
      <c r="W299" s="71">
        <v>7</v>
      </c>
      <c r="X299" s="82" t="s">
        <v>76</v>
      </c>
      <c r="Y299" s="74" t="s">
        <v>179</v>
      </c>
      <c r="Z299" s="74">
        <f t="shared" si="12"/>
        <v>45778</v>
      </c>
    </row>
    <row r="300" spans="19:26">
      <c r="S300" s="87">
        <v>16</v>
      </c>
      <c r="T300" s="88">
        <v>2025</v>
      </c>
      <c r="U300" s="89">
        <v>4</v>
      </c>
      <c r="V300" s="208">
        <f t="shared" si="11"/>
        <v>45763</v>
      </c>
      <c r="W300" s="71">
        <v>16</v>
      </c>
      <c r="X300" s="82" t="s">
        <v>66</v>
      </c>
      <c r="Y300" s="74" t="s">
        <v>180</v>
      </c>
      <c r="Z300" s="74">
        <f t="shared" si="12"/>
        <v>45785</v>
      </c>
    </row>
    <row r="301" spans="19:26">
      <c r="S301" s="87">
        <v>23</v>
      </c>
      <c r="T301" s="88">
        <v>2025</v>
      </c>
      <c r="U301" s="89">
        <v>4</v>
      </c>
      <c r="V301" s="208">
        <f t="shared" si="11"/>
        <v>45770</v>
      </c>
      <c r="W301" s="71">
        <v>23</v>
      </c>
      <c r="X301" s="82" t="s">
        <v>66</v>
      </c>
      <c r="Y301" s="74" t="s">
        <v>181</v>
      </c>
      <c r="Z301" s="74">
        <f t="shared" si="12"/>
        <v>45792</v>
      </c>
    </row>
    <row r="302" spans="19:26">
      <c r="S302" s="87">
        <v>27</v>
      </c>
      <c r="T302" s="88">
        <v>2025</v>
      </c>
      <c r="U302" s="89">
        <v>4</v>
      </c>
      <c r="V302" s="208">
        <f t="shared" si="11"/>
        <v>45774</v>
      </c>
      <c r="W302" s="71">
        <v>27</v>
      </c>
      <c r="X302" s="82" t="s">
        <v>61</v>
      </c>
      <c r="Y302" s="74" t="s">
        <v>182</v>
      </c>
      <c r="Z302" s="74">
        <f t="shared" si="12"/>
        <v>45800</v>
      </c>
    </row>
    <row r="303" spans="19:26">
      <c r="S303" s="87">
        <v>7</v>
      </c>
      <c r="T303" s="88">
        <v>2025</v>
      </c>
      <c r="U303" s="89">
        <v>5</v>
      </c>
      <c r="V303" s="208">
        <f t="shared" si="11"/>
        <v>45784</v>
      </c>
      <c r="W303" s="71">
        <v>7</v>
      </c>
      <c r="X303" s="82" t="s">
        <v>66</v>
      </c>
      <c r="Y303" s="74" t="s">
        <v>183</v>
      </c>
      <c r="Z303" s="74">
        <f t="shared" si="12"/>
        <v>45809</v>
      </c>
    </row>
    <row r="304" spans="19:26">
      <c r="S304" s="87">
        <v>16</v>
      </c>
      <c r="T304" s="88">
        <v>2025</v>
      </c>
      <c r="U304" s="89">
        <v>5</v>
      </c>
      <c r="V304" s="208">
        <f t="shared" si="11"/>
        <v>45793</v>
      </c>
      <c r="W304" s="71">
        <v>16</v>
      </c>
      <c r="X304" s="82" t="s">
        <v>64</v>
      </c>
      <c r="Y304" s="74" t="s">
        <v>184</v>
      </c>
      <c r="Z304" s="74">
        <f t="shared" si="12"/>
        <v>45816</v>
      </c>
    </row>
    <row r="305" spans="19:26">
      <c r="S305" s="87">
        <v>23</v>
      </c>
      <c r="T305" s="88">
        <v>2025</v>
      </c>
      <c r="U305" s="89">
        <v>5</v>
      </c>
      <c r="V305" s="208">
        <f t="shared" si="11"/>
        <v>45800</v>
      </c>
      <c r="W305" s="71">
        <v>23</v>
      </c>
      <c r="X305" s="82" t="s">
        <v>64</v>
      </c>
      <c r="Y305" s="74" t="s">
        <v>185</v>
      </c>
      <c r="Z305" s="74">
        <f t="shared" si="12"/>
        <v>45823</v>
      </c>
    </row>
    <row r="306" spans="19:26">
      <c r="S306" s="87">
        <v>27</v>
      </c>
      <c r="T306" s="88">
        <v>2025</v>
      </c>
      <c r="U306" s="89">
        <v>5</v>
      </c>
      <c r="V306" s="208">
        <f t="shared" si="11"/>
        <v>45804</v>
      </c>
      <c r="W306" s="71">
        <v>27</v>
      </c>
      <c r="X306" s="82" t="s">
        <v>69</v>
      </c>
      <c r="Y306" s="74" t="s">
        <v>186</v>
      </c>
      <c r="Z306" s="74">
        <f t="shared" si="12"/>
        <v>45831</v>
      </c>
    </row>
    <row r="307" spans="19:26">
      <c r="S307" s="87">
        <v>7</v>
      </c>
      <c r="T307" s="88">
        <v>2025</v>
      </c>
      <c r="U307" s="89">
        <v>6</v>
      </c>
      <c r="V307" s="208">
        <f t="shared" si="11"/>
        <v>45815</v>
      </c>
      <c r="W307" s="71">
        <v>7</v>
      </c>
      <c r="X307" s="82" t="s">
        <v>121</v>
      </c>
      <c r="Y307" s="74" t="s">
        <v>187</v>
      </c>
      <c r="Z307" s="74">
        <f t="shared" si="12"/>
        <v>45839</v>
      </c>
    </row>
    <row r="308" spans="19:26">
      <c r="S308" s="87">
        <v>16</v>
      </c>
      <c r="T308" s="88">
        <v>2025</v>
      </c>
      <c r="U308" s="89">
        <v>6</v>
      </c>
      <c r="V308" s="208">
        <f t="shared" si="11"/>
        <v>45824</v>
      </c>
      <c r="W308" s="71">
        <v>16</v>
      </c>
      <c r="X308" s="82" t="s">
        <v>76</v>
      </c>
      <c r="Y308" s="74" t="s">
        <v>188</v>
      </c>
      <c r="Z308" s="74">
        <f t="shared" si="12"/>
        <v>45846</v>
      </c>
    </row>
    <row r="309" spans="19:26">
      <c r="S309" s="87">
        <v>23</v>
      </c>
      <c r="T309" s="88">
        <v>2025</v>
      </c>
      <c r="U309" s="89">
        <v>6</v>
      </c>
      <c r="V309" s="208">
        <f t="shared" si="11"/>
        <v>45831</v>
      </c>
      <c r="W309" s="71">
        <v>23</v>
      </c>
      <c r="X309" s="82" t="s">
        <v>76</v>
      </c>
      <c r="Y309" s="74" t="s">
        <v>189</v>
      </c>
      <c r="Z309" s="74">
        <f t="shared" si="12"/>
        <v>45853</v>
      </c>
    </row>
    <row r="310" spans="19:26">
      <c r="S310" s="87">
        <v>27</v>
      </c>
      <c r="T310" s="88">
        <v>2025</v>
      </c>
      <c r="U310" s="89">
        <v>6</v>
      </c>
      <c r="V310" s="208">
        <f t="shared" si="11"/>
        <v>45835</v>
      </c>
      <c r="W310" s="71">
        <v>27</v>
      </c>
      <c r="X310" s="82" t="s">
        <v>64</v>
      </c>
      <c r="Y310" s="74" t="s">
        <v>190</v>
      </c>
      <c r="Z310" s="74">
        <f t="shared" si="12"/>
        <v>45861</v>
      </c>
    </row>
    <row r="311" spans="19:26">
      <c r="S311" s="87">
        <v>7</v>
      </c>
      <c r="T311" s="88">
        <v>2025</v>
      </c>
      <c r="U311" s="89">
        <v>7</v>
      </c>
      <c r="V311" s="208">
        <f t="shared" si="11"/>
        <v>45845</v>
      </c>
      <c r="W311" s="71">
        <v>7</v>
      </c>
      <c r="X311" s="82" t="s">
        <v>76</v>
      </c>
      <c r="Y311" s="74">
        <v>45870</v>
      </c>
      <c r="Z311" s="74">
        <f t="shared" si="12"/>
        <v>45870</v>
      </c>
    </row>
    <row r="312" spans="19:26">
      <c r="S312" s="87">
        <v>16</v>
      </c>
      <c r="T312" s="88">
        <v>2025</v>
      </c>
      <c r="U312" s="89">
        <v>7</v>
      </c>
      <c r="V312" s="208">
        <f t="shared" si="11"/>
        <v>45854</v>
      </c>
      <c r="W312" s="71">
        <v>16</v>
      </c>
      <c r="X312" s="82" t="s">
        <v>66</v>
      </c>
      <c r="Y312" s="74" t="s">
        <v>191</v>
      </c>
      <c r="Z312" s="74">
        <f t="shared" si="12"/>
        <v>45877</v>
      </c>
    </row>
    <row r="313" spans="19:26">
      <c r="S313" s="87">
        <v>23</v>
      </c>
      <c r="T313" s="88">
        <v>2025</v>
      </c>
      <c r="U313" s="89">
        <v>7</v>
      </c>
      <c r="V313" s="208">
        <f t="shared" si="11"/>
        <v>45861</v>
      </c>
      <c r="W313" s="71">
        <v>23</v>
      </c>
      <c r="X313" s="82" t="s">
        <v>66</v>
      </c>
      <c r="Y313" s="74" t="s">
        <v>192</v>
      </c>
      <c r="Z313" s="74">
        <f t="shared" si="12"/>
        <v>45884</v>
      </c>
    </row>
    <row r="314" spans="19:26">
      <c r="S314" s="87">
        <v>27</v>
      </c>
      <c r="T314" s="88">
        <v>2025</v>
      </c>
      <c r="U314" s="89">
        <v>7</v>
      </c>
      <c r="V314" s="208">
        <f t="shared" si="11"/>
        <v>45865</v>
      </c>
      <c r="W314" s="71">
        <v>27</v>
      </c>
      <c r="X314" s="82" t="s">
        <v>61</v>
      </c>
      <c r="Y314" s="74" t="s">
        <v>193</v>
      </c>
      <c r="Z314" s="74">
        <f t="shared" si="12"/>
        <v>45892</v>
      </c>
    </row>
    <row r="315" spans="19:26">
      <c r="S315" s="87">
        <v>7</v>
      </c>
      <c r="T315" s="88">
        <v>2025</v>
      </c>
      <c r="U315" s="89">
        <v>8</v>
      </c>
      <c r="V315" s="208">
        <f t="shared" si="11"/>
        <v>45876</v>
      </c>
      <c r="W315" s="71">
        <v>7</v>
      </c>
      <c r="X315" s="82" t="s">
        <v>62</v>
      </c>
      <c r="Y315" s="74" t="s">
        <v>194</v>
      </c>
      <c r="Z315" s="74">
        <f t="shared" si="12"/>
        <v>45901</v>
      </c>
    </row>
    <row r="316" spans="19:26">
      <c r="S316" s="87">
        <v>16</v>
      </c>
      <c r="T316" s="88">
        <v>2025</v>
      </c>
      <c r="U316" s="89">
        <v>8</v>
      </c>
      <c r="V316" s="208">
        <f t="shared" si="11"/>
        <v>45885</v>
      </c>
      <c r="W316" s="71">
        <v>16</v>
      </c>
      <c r="X316" s="82" t="s">
        <v>121</v>
      </c>
      <c r="Y316" s="74" t="s">
        <v>195</v>
      </c>
      <c r="Z316" s="74">
        <f t="shared" si="12"/>
        <v>45908</v>
      </c>
    </row>
    <row r="317" spans="19:26">
      <c r="S317" s="87">
        <v>23</v>
      </c>
      <c r="T317" s="88">
        <v>2025</v>
      </c>
      <c r="U317" s="89">
        <v>8</v>
      </c>
      <c r="V317" s="208">
        <f t="shared" si="11"/>
        <v>45892</v>
      </c>
      <c r="W317" s="71">
        <v>23</v>
      </c>
      <c r="X317" s="82" t="s">
        <v>121</v>
      </c>
      <c r="Y317" s="74" t="s">
        <v>196</v>
      </c>
      <c r="Z317" s="74">
        <f t="shared" si="12"/>
        <v>45915</v>
      </c>
    </row>
    <row r="318" spans="19:26">
      <c r="S318" s="87">
        <v>27</v>
      </c>
      <c r="T318" s="88">
        <v>2025</v>
      </c>
      <c r="U318" s="89">
        <v>8</v>
      </c>
      <c r="V318" s="208">
        <f t="shared" si="11"/>
        <v>45896</v>
      </c>
      <c r="W318" s="71">
        <v>27</v>
      </c>
      <c r="X318" s="82" t="s">
        <v>66</v>
      </c>
      <c r="Y318" s="74" t="s">
        <v>197</v>
      </c>
      <c r="Z318" s="74">
        <f t="shared" si="12"/>
        <v>45923</v>
      </c>
    </row>
    <row r="319" spans="19:26">
      <c r="S319" s="87">
        <v>7</v>
      </c>
      <c r="T319" s="88">
        <v>2025</v>
      </c>
      <c r="U319" s="89">
        <v>9</v>
      </c>
      <c r="V319" s="208">
        <f t="shared" si="11"/>
        <v>45907</v>
      </c>
      <c r="W319" s="71">
        <v>7</v>
      </c>
      <c r="X319" s="82" t="s">
        <v>61</v>
      </c>
      <c r="Y319" s="74" t="s">
        <v>198</v>
      </c>
      <c r="Z319" s="74">
        <f t="shared" si="12"/>
        <v>45931</v>
      </c>
    </row>
    <row r="320" spans="19:26">
      <c r="S320" s="87">
        <v>16</v>
      </c>
      <c r="T320" s="88">
        <v>2025</v>
      </c>
      <c r="U320" s="89">
        <v>9</v>
      </c>
      <c r="V320" s="208">
        <f t="shared" si="11"/>
        <v>45916</v>
      </c>
      <c r="W320" s="71">
        <v>16</v>
      </c>
      <c r="X320" s="82" t="s">
        <v>69</v>
      </c>
      <c r="Y320" s="74" t="s">
        <v>199</v>
      </c>
      <c r="Z320" s="74">
        <f t="shared" si="12"/>
        <v>45938</v>
      </c>
    </row>
    <row r="321" spans="19:26">
      <c r="S321" s="87">
        <v>23</v>
      </c>
      <c r="T321" s="88">
        <v>2025</v>
      </c>
      <c r="U321" s="89">
        <v>9</v>
      </c>
      <c r="V321" s="208">
        <f t="shared" si="11"/>
        <v>45923</v>
      </c>
      <c r="W321" s="71">
        <v>23</v>
      </c>
      <c r="X321" s="82" t="s">
        <v>69</v>
      </c>
      <c r="Y321" s="74" t="s">
        <v>200</v>
      </c>
      <c r="Z321" s="74">
        <f t="shared" si="12"/>
        <v>45945</v>
      </c>
    </row>
    <row r="322" spans="19:26">
      <c r="S322" s="87">
        <v>27</v>
      </c>
      <c r="T322" s="88">
        <v>2025</v>
      </c>
      <c r="U322" s="89">
        <v>9</v>
      </c>
      <c r="V322" s="208">
        <f t="shared" si="11"/>
        <v>45927</v>
      </c>
      <c r="W322" s="71">
        <v>27</v>
      </c>
      <c r="X322" s="82" t="s">
        <v>121</v>
      </c>
      <c r="Y322" s="74" t="s">
        <v>201</v>
      </c>
      <c r="Z322" s="74">
        <f t="shared" si="12"/>
        <v>45953</v>
      </c>
    </row>
    <row r="323" spans="19:26">
      <c r="S323" s="87">
        <v>7</v>
      </c>
      <c r="T323" s="88">
        <v>2025</v>
      </c>
      <c r="U323" s="89">
        <v>10</v>
      </c>
      <c r="V323" s="208">
        <f t="shared" ref="V323:V386" si="13">DATE(T323,U323,S323)</f>
        <v>45937</v>
      </c>
      <c r="W323" s="71">
        <v>7</v>
      </c>
      <c r="X323" s="82" t="s">
        <v>69</v>
      </c>
      <c r="Y323" s="74" t="s">
        <v>202</v>
      </c>
      <c r="Z323" s="74">
        <f t="shared" si="12"/>
        <v>45962</v>
      </c>
    </row>
    <row r="324" spans="19:26">
      <c r="S324" s="87">
        <v>16</v>
      </c>
      <c r="T324" s="88">
        <v>2025</v>
      </c>
      <c r="U324" s="89">
        <v>10</v>
      </c>
      <c r="V324" s="208">
        <f t="shared" si="13"/>
        <v>45946</v>
      </c>
      <c r="W324" s="71">
        <v>16</v>
      </c>
      <c r="X324" s="82" t="s">
        <v>62</v>
      </c>
      <c r="Y324" s="74" t="s">
        <v>203</v>
      </c>
      <c r="Z324" s="74">
        <f t="shared" si="12"/>
        <v>45969</v>
      </c>
    </row>
    <row r="325" spans="19:26">
      <c r="S325" s="87">
        <v>23</v>
      </c>
      <c r="T325" s="88">
        <v>2025</v>
      </c>
      <c r="U325" s="89">
        <v>10</v>
      </c>
      <c r="V325" s="208">
        <f t="shared" si="13"/>
        <v>45953</v>
      </c>
      <c r="W325" s="71">
        <v>23</v>
      </c>
      <c r="X325" s="82" t="s">
        <v>62</v>
      </c>
      <c r="Y325" s="74" t="s">
        <v>204</v>
      </c>
      <c r="Z325" s="74">
        <f t="shared" si="12"/>
        <v>45976</v>
      </c>
    </row>
    <row r="326" spans="19:26">
      <c r="S326" s="87">
        <v>27</v>
      </c>
      <c r="T326" s="88">
        <v>2025</v>
      </c>
      <c r="U326" s="89">
        <v>10</v>
      </c>
      <c r="V326" s="208">
        <f t="shared" si="13"/>
        <v>45957</v>
      </c>
      <c r="W326" s="71">
        <v>27</v>
      </c>
      <c r="X326" s="82" t="s">
        <v>76</v>
      </c>
      <c r="Y326" s="74" t="s">
        <v>205</v>
      </c>
      <c r="Z326" s="74">
        <f t="shared" si="12"/>
        <v>45984</v>
      </c>
    </row>
    <row r="327" spans="19:26">
      <c r="S327" s="87">
        <v>7</v>
      </c>
      <c r="T327" s="88">
        <v>2025</v>
      </c>
      <c r="U327" s="89">
        <v>11</v>
      </c>
      <c r="V327" s="208">
        <f t="shared" si="13"/>
        <v>45968</v>
      </c>
      <c r="W327" s="71">
        <v>7</v>
      </c>
      <c r="X327" s="82" t="s">
        <v>64</v>
      </c>
      <c r="Y327" s="74" t="s">
        <v>206</v>
      </c>
      <c r="Z327" s="74">
        <f t="shared" si="12"/>
        <v>45992</v>
      </c>
    </row>
    <row r="328" spans="19:26">
      <c r="S328" s="87">
        <v>16</v>
      </c>
      <c r="T328" s="88">
        <v>2025</v>
      </c>
      <c r="U328" s="89">
        <v>11</v>
      </c>
      <c r="V328" s="208">
        <f t="shared" si="13"/>
        <v>45977</v>
      </c>
      <c r="W328" s="71">
        <v>16</v>
      </c>
      <c r="X328" s="82" t="s">
        <v>61</v>
      </c>
      <c r="Y328" s="74" t="s">
        <v>207</v>
      </c>
      <c r="Z328" s="74">
        <f t="shared" si="12"/>
        <v>45999</v>
      </c>
    </row>
    <row r="329" spans="19:26">
      <c r="S329" s="87">
        <v>23</v>
      </c>
      <c r="T329" s="88">
        <v>2025</v>
      </c>
      <c r="U329" s="89">
        <v>11</v>
      </c>
      <c r="V329" s="208">
        <f t="shared" si="13"/>
        <v>45984</v>
      </c>
      <c r="W329" s="71">
        <v>23</v>
      </c>
      <c r="X329" s="82" t="s">
        <v>61</v>
      </c>
      <c r="Y329" s="74" t="s">
        <v>208</v>
      </c>
      <c r="Z329" s="74">
        <f t="shared" si="12"/>
        <v>46006</v>
      </c>
    </row>
    <row r="330" spans="19:26">
      <c r="S330" s="87">
        <v>27</v>
      </c>
      <c r="T330" s="88">
        <v>2025</v>
      </c>
      <c r="U330" s="89">
        <v>11</v>
      </c>
      <c r="V330" s="208">
        <f t="shared" si="13"/>
        <v>45988</v>
      </c>
      <c r="W330" s="71">
        <v>27</v>
      </c>
      <c r="X330" s="82" t="s">
        <v>62</v>
      </c>
      <c r="Y330" s="74" t="s">
        <v>209</v>
      </c>
      <c r="Z330" s="74">
        <f t="shared" si="12"/>
        <v>46014</v>
      </c>
    </row>
    <row r="331" spans="19:26">
      <c r="S331" s="87">
        <v>7</v>
      </c>
      <c r="T331" s="88">
        <v>2025</v>
      </c>
      <c r="U331" s="89">
        <v>12</v>
      </c>
      <c r="V331" s="208">
        <f t="shared" si="13"/>
        <v>45998</v>
      </c>
      <c r="W331" s="71">
        <v>7</v>
      </c>
      <c r="X331" s="82" t="s">
        <v>61</v>
      </c>
      <c r="Y331" s="74" t="s">
        <v>210</v>
      </c>
      <c r="Z331" s="74">
        <f t="shared" si="12"/>
        <v>46023</v>
      </c>
    </row>
    <row r="332" spans="19:26">
      <c r="S332" s="87">
        <v>16</v>
      </c>
      <c r="T332" s="88">
        <v>2025</v>
      </c>
      <c r="U332" s="89">
        <v>12</v>
      </c>
      <c r="V332" s="208">
        <f t="shared" si="13"/>
        <v>46007</v>
      </c>
      <c r="W332" s="71">
        <v>16</v>
      </c>
      <c r="X332" s="82" t="s">
        <v>69</v>
      </c>
      <c r="Y332" s="74" t="s">
        <v>211</v>
      </c>
      <c r="Z332" s="74">
        <f t="shared" si="12"/>
        <v>46030</v>
      </c>
    </row>
    <row r="333" spans="19:26">
      <c r="S333" s="90">
        <v>23</v>
      </c>
      <c r="T333" s="88">
        <v>2025</v>
      </c>
      <c r="U333" s="91">
        <v>12</v>
      </c>
      <c r="V333" s="208">
        <f t="shared" si="13"/>
        <v>46014</v>
      </c>
      <c r="W333" s="71">
        <v>23</v>
      </c>
      <c r="X333" s="82" t="s">
        <v>69</v>
      </c>
      <c r="Y333" s="74" t="s">
        <v>212</v>
      </c>
      <c r="Z333" s="74">
        <f t="shared" si="12"/>
        <v>46037</v>
      </c>
    </row>
    <row r="334" spans="19:26">
      <c r="S334" s="87">
        <v>27</v>
      </c>
      <c r="T334" s="88">
        <v>2025</v>
      </c>
      <c r="U334" s="89">
        <v>12</v>
      </c>
      <c r="V334" s="208">
        <f t="shared" si="13"/>
        <v>46018</v>
      </c>
      <c r="W334" s="71">
        <v>27</v>
      </c>
      <c r="X334" s="82" t="s">
        <v>121</v>
      </c>
      <c r="Y334" s="74" t="s">
        <v>213</v>
      </c>
      <c r="Z334" s="74">
        <f t="shared" si="12"/>
        <v>46045</v>
      </c>
    </row>
    <row r="335" spans="19:26">
      <c r="S335" s="87">
        <v>7</v>
      </c>
      <c r="T335" s="88">
        <v>2026</v>
      </c>
      <c r="U335" s="89">
        <v>1</v>
      </c>
      <c r="V335" s="208">
        <f t="shared" si="13"/>
        <v>46029</v>
      </c>
      <c r="W335" s="71">
        <v>7</v>
      </c>
      <c r="X335" s="82" t="s">
        <v>66</v>
      </c>
      <c r="Y335" s="74" t="s">
        <v>214</v>
      </c>
      <c r="Z335" s="74">
        <f t="shared" si="12"/>
        <v>46054</v>
      </c>
    </row>
    <row r="336" spans="19:26">
      <c r="S336" s="87">
        <v>16</v>
      </c>
      <c r="T336" s="88">
        <v>2026</v>
      </c>
      <c r="U336" s="89">
        <v>1</v>
      </c>
      <c r="V336" s="208">
        <f t="shared" si="13"/>
        <v>46038</v>
      </c>
      <c r="W336" s="71">
        <v>16</v>
      </c>
      <c r="X336" s="82" t="s">
        <v>64</v>
      </c>
      <c r="Y336" s="74" t="s">
        <v>215</v>
      </c>
      <c r="Z336" s="74">
        <f t="shared" si="12"/>
        <v>46061</v>
      </c>
    </row>
    <row r="337" spans="19:26">
      <c r="S337" s="87">
        <v>23</v>
      </c>
      <c r="T337" s="88">
        <v>2026</v>
      </c>
      <c r="U337" s="89">
        <v>1</v>
      </c>
      <c r="V337" s="208">
        <f t="shared" si="13"/>
        <v>46045</v>
      </c>
      <c r="W337" s="71">
        <v>23</v>
      </c>
      <c r="X337" s="82" t="s">
        <v>64</v>
      </c>
      <c r="Y337" s="74" t="s">
        <v>216</v>
      </c>
      <c r="Z337" s="74">
        <f t="shared" si="12"/>
        <v>46068</v>
      </c>
    </row>
    <row r="338" spans="19:26">
      <c r="S338" s="87">
        <v>27</v>
      </c>
      <c r="T338" s="88">
        <v>2026</v>
      </c>
      <c r="U338" s="89">
        <v>1</v>
      </c>
      <c r="V338" s="208">
        <f t="shared" si="13"/>
        <v>46049</v>
      </c>
      <c r="W338" s="71">
        <v>27</v>
      </c>
      <c r="X338" s="82" t="s">
        <v>69</v>
      </c>
      <c r="Y338" s="74" t="s">
        <v>217</v>
      </c>
      <c r="Z338" s="74">
        <f t="shared" si="12"/>
        <v>46076</v>
      </c>
    </row>
    <row r="339" spans="19:26">
      <c r="S339" s="87">
        <v>7</v>
      </c>
      <c r="T339" s="88">
        <v>2026</v>
      </c>
      <c r="U339" s="89">
        <v>2</v>
      </c>
      <c r="V339" s="208">
        <f t="shared" si="13"/>
        <v>46060</v>
      </c>
      <c r="W339" s="71">
        <v>7</v>
      </c>
      <c r="X339" s="82" t="s">
        <v>121</v>
      </c>
      <c r="Y339" s="74" t="s">
        <v>218</v>
      </c>
      <c r="Z339" s="74">
        <f t="shared" si="12"/>
        <v>46082</v>
      </c>
    </row>
    <row r="340" spans="19:26">
      <c r="S340" s="87">
        <v>16</v>
      </c>
      <c r="T340" s="88">
        <v>2026</v>
      </c>
      <c r="U340" s="89">
        <v>2</v>
      </c>
      <c r="V340" s="208">
        <f t="shared" si="13"/>
        <v>46069</v>
      </c>
      <c r="W340" s="71">
        <v>16</v>
      </c>
      <c r="X340" s="82" t="s">
        <v>76</v>
      </c>
      <c r="Y340" s="74" t="s">
        <v>219</v>
      </c>
      <c r="Z340" s="74">
        <f t="shared" si="12"/>
        <v>46089</v>
      </c>
    </row>
    <row r="341" spans="19:26">
      <c r="S341" s="87">
        <v>23</v>
      </c>
      <c r="T341" s="88">
        <v>2026</v>
      </c>
      <c r="U341" s="89">
        <v>2</v>
      </c>
      <c r="V341" s="208">
        <f t="shared" si="13"/>
        <v>46076</v>
      </c>
      <c r="W341" s="71">
        <v>23</v>
      </c>
      <c r="X341" s="82" t="s">
        <v>76</v>
      </c>
      <c r="Y341" s="74" t="s">
        <v>220</v>
      </c>
      <c r="Z341" s="74">
        <f t="shared" si="12"/>
        <v>46096</v>
      </c>
    </row>
    <row r="342" spans="19:26">
      <c r="S342" s="87">
        <v>27</v>
      </c>
      <c r="T342" s="88">
        <v>2026</v>
      </c>
      <c r="U342" s="89">
        <v>2</v>
      </c>
      <c r="V342" s="208">
        <f t="shared" si="13"/>
        <v>46080</v>
      </c>
      <c r="W342" s="71">
        <v>27</v>
      </c>
      <c r="X342" s="82" t="s">
        <v>64</v>
      </c>
      <c r="Y342" s="74" t="s">
        <v>221</v>
      </c>
      <c r="Z342" s="74">
        <f t="shared" si="12"/>
        <v>46104</v>
      </c>
    </row>
    <row r="343" spans="19:26">
      <c r="S343" s="87">
        <v>7</v>
      </c>
      <c r="T343" s="88">
        <v>2026</v>
      </c>
      <c r="U343" s="89">
        <v>3</v>
      </c>
      <c r="V343" s="208">
        <f t="shared" si="13"/>
        <v>46088</v>
      </c>
      <c r="W343" s="71">
        <v>7</v>
      </c>
      <c r="X343" s="82" t="s">
        <v>121</v>
      </c>
      <c r="Y343" s="74" t="s">
        <v>222</v>
      </c>
      <c r="Z343" s="74">
        <f t="shared" si="12"/>
        <v>46113</v>
      </c>
    </row>
    <row r="344" spans="19:26">
      <c r="S344" s="87">
        <v>16</v>
      </c>
      <c r="T344" s="88">
        <v>2026</v>
      </c>
      <c r="U344" s="89">
        <v>3</v>
      </c>
      <c r="V344" s="208">
        <f t="shared" si="13"/>
        <v>46097</v>
      </c>
      <c r="W344" s="71">
        <v>16</v>
      </c>
      <c r="X344" s="82" t="s">
        <v>76</v>
      </c>
      <c r="Y344" s="74" t="s">
        <v>223</v>
      </c>
      <c r="Z344" s="74">
        <f t="shared" si="12"/>
        <v>46120</v>
      </c>
    </row>
    <row r="345" spans="19:26">
      <c r="S345" s="87">
        <v>23</v>
      </c>
      <c r="T345" s="88">
        <v>2026</v>
      </c>
      <c r="U345" s="89">
        <v>3</v>
      </c>
      <c r="V345" s="208">
        <f t="shared" si="13"/>
        <v>46104</v>
      </c>
      <c r="W345" s="71">
        <v>23</v>
      </c>
      <c r="X345" s="82" t="s">
        <v>76</v>
      </c>
      <c r="Y345" s="74" t="s">
        <v>224</v>
      </c>
      <c r="Z345" s="74">
        <f t="shared" si="12"/>
        <v>46127</v>
      </c>
    </row>
    <row r="346" spans="19:26">
      <c r="S346" s="87">
        <v>27</v>
      </c>
      <c r="T346" s="88">
        <v>2026</v>
      </c>
      <c r="U346" s="89">
        <v>3</v>
      </c>
      <c r="V346" s="208">
        <f t="shared" si="13"/>
        <v>46108</v>
      </c>
      <c r="W346" s="71">
        <v>27</v>
      </c>
      <c r="X346" s="82" t="s">
        <v>64</v>
      </c>
      <c r="Y346" s="74" t="s">
        <v>225</v>
      </c>
      <c r="Z346" s="74">
        <f t="shared" si="12"/>
        <v>46135</v>
      </c>
    </row>
    <row r="347" spans="19:26">
      <c r="S347" s="87">
        <v>7</v>
      </c>
      <c r="T347" s="88">
        <v>2026</v>
      </c>
      <c r="U347" s="89">
        <v>4</v>
      </c>
      <c r="V347" s="208">
        <f t="shared" si="13"/>
        <v>46119</v>
      </c>
      <c r="W347" s="71">
        <v>7</v>
      </c>
      <c r="X347" s="82" t="s">
        <v>69</v>
      </c>
      <c r="Y347" s="74" t="s">
        <v>226</v>
      </c>
      <c r="Z347" s="74">
        <f t="shared" ref="Z347:Z410" si="14">DATE(YEAR(Y347)+1/12,MONTH(Y347),DAY(Y347))</f>
        <v>46143</v>
      </c>
    </row>
    <row r="348" spans="19:26">
      <c r="S348" s="87">
        <v>16</v>
      </c>
      <c r="T348" s="88">
        <v>2026</v>
      </c>
      <c r="U348" s="89">
        <v>4</v>
      </c>
      <c r="V348" s="208">
        <f t="shared" si="13"/>
        <v>46128</v>
      </c>
      <c r="W348" s="71">
        <v>16</v>
      </c>
      <c r="X348" s="82" t="s">
        <v>62</v>
      </c>
      <c r="Y348" s="74" t="s">
        <v>227</v>
      </c>
      <c r="Z348" s="74">
        <f t="shared" si="14"/>
        <v>46150</v>
      </c>
    </row>
    <row r="349" spans="19:26">
      <c r="S349" s="87">
        <v>23</v>
      </c>
      <c r="T349" s="88">
        <v>2026</v>
      </c>
      <c r="U349" s="89">
        <v>4</v>
      </c>
      <c r="V349" s="208">
        <f t="shared" si="13"/>
        <v>46135</v>
      </c>
      <c r="W349" s="71">
        <v>23</v>
      </c>
      <c r="X349" s="82" t="s">
        <v>62</v>
      </c>
      <c r="Y349" s="74" t="s">
        <v>228</v>
      </c>
      <c r="Z349" s="74">
        <f t="shared" si="14"/>
        <v>46157</v>
      </c>
    </row>
    <row r="350" spans="19:26">
      <c r="S350" s="87">
        <v>27</v>
      </c>
      <c r="T350" s="88">
        <v>2026</v>
      </c>
      <c r="U350" s="89">
        <v>4</v>
      </c>
      <c r="V350" s="208">
        <f t="shared" si="13"/>
        <v>46139</v>
      </c>
      <c r="W350" s="71">
        <v>27</v>
      </c>
      <c r="X350" s="82" t="s">
        <v>76</v>
      </c>
      <c r="Y350" s="74" t="s">
        <v>229</v>
      </c>
      <c r="Z350" s="74">
        <f t="shared" si="14"/>
        <v>46165</v>
      </c>
    </row>
    <row r="351" spans="19:26">
      <c r="S351" s="87">
        <v>7</v>
      </c>
      <c r="T351" s="88">
        <v>2026</v>
      </c>
      <c r="U351" s="89">
        <v>5</v>
      </c>
      <c r="V351" s="208">
        <f t="shared" si="13"/>
        <v>46149</v>
      </c>
      <c r="W351" s="71">
        <v>7</v>
      </c>
      <c r="X351" s="82" t="s">
        <v>62</v>
      </c>
      <c r="Y351" s="74" t="s">
        <v>230</v>
      </c>
      <c r="Z351" s="74">
        <f t="shared" si="14"/>
        <v>46174</v>
      </c>
    </row>
    <row r="352" spans="19:26">
      <c r="S352" s="87">
        <v>16</v>
      </c>
      <c r="T352" s="88">
        <v>2026</v>
      </c>
      <c r="U352" s="89">
        <v>5</v>
      </c>
      <c r="V352" s="208">
        <f t="shared" si="13"/>
        <v>46158</v>
      </c>
      <c r="W352" s="71">
        <v>16</v>
      </c>
      <c r="X352" s="82" t="s">
        <v>121</v>
      </c>
      <c r="Y352" s="74" t="s">
        <v>231</v>
      </c>
      <c r="Z352" s="74">
        <f t="shared" si="14"/>
        <v>46181</v>
      </c>
    </row>
    <row r="353" spans="19:26">
      <c r="S353" s="87">
        <v>23</v>
      </c>
      <c r="T353" s="88">
        <v>2026</v>
      </c>
      <c r="U353" s="89">
        <v>5</v>
      </c>
      <c r="V353" s="208">
        <f t="shared" si="13"/>
        <v>46165</v>
      </c>
      <c r="W353" s="71">
        <v>23</v>
      </c>
      <c r="X353" s="82" t="s">
        <v>121</v>
      </c>
      <c r="Y353" s="74" t="s">
        <v>232</v>
      </c>
      <c r="Z353" s="74">
        <f t="shared" si="14"/>
        <v>46188</v>
      </c>
    </row>
    <row r="354" spans="19:26">
      <c r="S354" s="87">
        <v>27</v>
      </c>
      <c r="T354" s="88">
        <v>2026</v>
      </c>
      <c r="U354" s="89">
        <v>5</v>
      </c>
      <c r="V354" s="208">
        <f t="shared" si="13"/>
        <v>46169</v>
      </c>
      <c r="W354" s="71">
        <v>27</v>
      </c>
      <c r="X354" s="82" t="s">
        <v>66</v>
      </c>
      <c r="Y354" s="74" t="s">
        <v>233</v>
      </c>
      <c r="Z354" s="74">
        <f t="shared" si="14"/>
        <v>46196</v>
      </c>
    </row>
    <row r="355" spans="19:26">
      <c r="S355" s="87">
        <v>7</v>
      </c>
      <c r="T355" s="88">
        <v>2026</v>
      </c>
      <c r="U355" s="89">
        <v>6</v>
      </c>
      <c r="V355" s="208">
        <f t="shared" si="13"/>
        <v>46180</v>
      </c>
      <c r="W355" s="71">
        <v>7</v>
      </c>
      <c r="X355" s="82" t="s">
        <v>61</v>
      </c>
      <c r="Y355" s="74" t="s">
        <v>234</v>
      </c>
      <c r="Z355" s="74">
        <f t="shared" si="14"/>
        <v>46204</v>
      </c>
    </row>
    <row r="356" spans="19:26">
      <c r="S356" s="87">
        <v>16</v>
      </c>
      <c r="T356" s="88">
        <v>2026</v>
      </c>
      <c r="U356" s="89">
        <v>6</v>
      </c>
      <c r="V356" s="208">
        <f t="shared" si="13"/>
        <v>46189</v>
      </c>
      <c r="W356" s="71">
        <v>16</v>
      </c>
      <c r="X356" s="82" t="s">
        <v>69</v>
      </c>
      <c r="Y356" s="74" t="s">
        <v>235</v>
      </c>
      <c r="Z356" s="74">
        <f t="shared" si="14"/>
        <v>46211</v>
      </c>
    </row>
    <row r="357" spans="19:26">
      <c r="S357" s="87">
        <v>23</v>
      </c>
      <c r="T357" s="88">
        <v>2026</v>
      </c>
      <c r="U357" s="89">
        <v>6</v>
      </c>
      <c r="V357" s="208">
        <f t="shared" si="13"/>
        <v>46196</v>
      </c>
      <c r="W357" s="71">
        <v>23</v>
      </c>
      <c r="X357" s="82" t="s">
        <v>69</v>
      </c>
      <c r="Y357" s="74" t="s">
        <v>236</v>
      </c>
      <c r="Z357" s="74">
        <f t="shared" si="14"/>
        <v>46218</v>
      </c>
    </row>
    <row r="358" spans="19:26">
      <c r="S358" s="87">
        <v>27</v>
      </c>
      <c r="T358" s="88">
        <v>2026</v>
      </c>
      <c r="U358" s="89">
        <v>6</v>
      </c>
      <c r="V358" s="208">
        <f t="shared" si="13"/>
        <v>46200</v>
      </c>
      <c r="W358" s="71">
        <v>27</v>
      </c>
      <c r="X358" s="82" t="s">
        <v>121</v>
      </c>
      <c r="Y358" s="74" t="s">
        <v>237</v>
      </c>
      <c r="Z358" s="74">
        <f t="shared" si="14"/>
        <v>46226</v>
      </c>
    </row>
    <row r="359" spans="19:26">
      <c r="S359" s="87">
        <v>7</v>
      </c>
      <c r="T359" s="88">
        <v>2026</v>
      </c>
      <c r="U359" s="89">
        <v>7</v>
      </c>
      <c r="V359" s="208">
        <f t="shared" si="13"/>
        <v>46210</v>
      </c>
      <c r="W359" s="71">
        <v>7</v>
      </c>
      <c r="X359" s="82" t="s">
        <v>69</v>
      </c>
      <c r="Y359" s="74" t="s">
        <v>238</v>
      </c>
      <c r="Z359" s="74">
        <f t="shared" si="14"/>
        <v>46235</v>
      </c>
    </row>
    <row r="360" spans="19:26">
      <c r="S360" s="87">
        <v>16</v>
      </c>
      <c r="T360" s="88">
        <v>2026</v>
      </c>
      <c r="U360" s="89">
        <v>7</v>
      </c>
      <c r="V360" s="208">
        <f t="shared" si="13"/>
        <v>46219</v>
      </c>
      <c r="W360" s="71">
        <v>16</v>
      </c>
      <c r="X360" s="82" t="s">
        <v>62</v>
      </c>
      <c r="Y360" s="74" t="s">
        <v>239</v>
      </c>
      <c r="Z360" s="74">
        <f t="shared" si="14"/>
        <v>46242</v>
      </c>
    </row>
    <row r="361" spans="19:26">
      <c r="S361" s="87">
        <v>23</v>
      </c>
      <c r="T361" s="88">
        <v>2026</v>
      </c>
      <c r="U361" s="89">
        <v>7</v>
      </c>
      <c r="V361" s="208">
        <f t="shared" si="13"/>
        <v>46226</v>
      </c>
      <c r="W361" s="71">
        <v>23</v>
      </c>
      <c r="X361" s="82" t="s">
        <v>62</v>
      </c>
      <c r="Y361" s="74" t="s">
        <v>240</v>
      </c>
      <c r="Z361" s="74">
        <f t="shared" si="14"/>
        <v>46249</v>
      </c>
    </row>
    <row r="362" spans="19:26">
      <c r="S362" s="87">
        <v>27</v>
      </c>
      <c r="T362" s="88">
        <v>2026</v>
      </c>
      <c r="U362" s="89">
        <v>7</v>
      </c>
      <c r="V362" s="208">
        <f t="shared" si="13"/>
        <v>46230</v>
      </c>
      <c r="W362" s="71">
        <v>27</v>
      </c>
      <c r="X362" s="82" t="s">
        <v>76</v>
      </c>
      <c r="Y362" s="74" t="s">
        <v>241</v>
      </c>
      <c r="Z362" s="74">
        <f t="shared" si="14"/>
        <v>46257</v>
      </c>
    </row>
    <row r="363" spans="19:26">
      <c r="S363" s="87">
        <v>7</v>
      </c>
      <c r="T363" s="88">
        <v>2026</v>
      </c>
      <c r="U363" s="89">
        <v>8</v>
      </c>
      <c r="V363" s="208">
        <f t="shared" si="13"/>
        <v>46241</v>
      </c>
      <c r="W363" s="71">
        <v>7</v>
      </c>
      <c r="X363" s="82" t="s">
        <v>64</v>
      </c>
      <c r="Y363" s="74" t="s">
        <v>242</v>
      </c>
      <c r="Z363" s="74">
        <f t="shared" si="14"/>
        <v>46266</v>
      </c>
    </row>
    <row r="364" spans="19:26">
      <c r="S364" s="87">
        <v>16</v>
      </c>
      <c r="T364" s="88">
        <v>2026</v>
      </c>
      <c r="U364" s="89">
        <v>8</v>
      </c>
      <c r="V364" s="208">
        <f t="shared" si="13"/>
        <v>46250</v>
      </c>
      <c r="W364" s="71">
        <v>16</v>
      </c>
      <c r="X364" s="82" t="s">
        <v>61</v>
      </c>
      <c r="Y364" s="74" t="s">
        <v>243</v>
      </c>
      <c r="Z364" s="74">
        <f t="shared" si="14"/>
        <v>46273</v>
      </c>
    </row>
    <row r="365" spans="19:26">
      <c r="S365" s="87">
        <v>23</v>
      </c>
      <c r="T365" s="88">
        <v>2026</v>
      </c>
      <c r="U365" s="89">
        <v>8</v>
      </c>
      <c r="V365" s="208">
        <f t="shared" si="13"/>
        <v>46257</v>
      </c>
      <c r="W365" s="71">
        <v>23</v>
      </c>
      <c r="X365" s="82" t="s">
        <v>61</v>
      </c>
      <c r="Y365" s="74" t="s">
        <v>244</v>
      </c>
      <c r="Z365" s="74">
        <f t="shared" si="14"/>
        <v>46280</v>
      </c>
    </row>
    <row r="366" spans="19:26">
      <c r="S366" s="87">
        <v>27</v>
      </c>
      <c r="T366" s="88">
        <v>2026</v>
      </c>
      <c r="U366" s="89">
        <v>8</v>
      </c>
      <c r="V366" s="208">
        <f t="shared" si="13"/>
        <v>46261</v>
      </c>
      <c r="W366" s="71">
        <v>27</v>
      </c>
      <c r="X366" s="82" t="s">
        <v>62</v>
      </c>
      <c r="Y366" s="74" t="s">
        <v>245</v>
      </c>
      <c r="Z366" s="74">
        <f t="shared" si="14"/>
        <v>46288</v>
      </c>
    </row>
    <row r="367" spans="19:26">
      <c r="S367" s="87">
        <v>7</v>
      </c>
      <c r="T367" s="88">
        <v>2026</v>
      </c>
      <c r="U367" s="89">
        <v>9</v>
      </c>
      <c r="V367" s="208">
        <f t="shared" si="13"/>
        <v>46272</v>
      </c>
      <c r="W367" s="71">
        <v>7</v>
      </c>
      <c r="X367" s="82" t="s">
        <v>76</v>
      </c>
      <c r="Y367" s="74" t="s">
        <v>246</v>
      </c>
      <c r="Z367" s="74">
        <f t="shared" si="14"/>
        <v>46296</v>
      </c>
    </row>
    <row r="368" spans="19:26">
      <c r="S368" s="87">
        <v>16</v>
      </c>
      <c r="T368" s="88">
        <v>2026</v>
      </c>
      <c r="U368" s="89">
        <v>9</v>
      </c>
      <c r="V368" s="208">
        <f t="shared" si="13"/>
        <v>46281</v>
      </c>
      <c r="W368" s="71">
        <v>16</v>
      </c>
      <c r="X368" s="82" t="s">
        <v>66</v>
      </c>
      <c r="Y368" s="74" t="s">
        <v>247</v>
      </c>
      <c r="Z368" s="74">
        <f t="shared" si="14"/>
        <v>46303</v>
      </c>
    </row>
    <row r="369" spans="19:26">
      <c r="S369" s="87">
        <v>23</v>
      </c>
      <c r="T369" s="88">
        <v>2026</v>
      </c>
      <c r="U369" s="89">
        <v>9</v>
      </c>
      <c r="V369" s="208">
        <f t="shared" si="13"/>
        <v>46288</v>
      </c>
      <c r="W369" s="71">
        <v>23</v>
      </c>
      <c r="X369" s="82" t="s">
        <v>66</v>
      </c>
      <c r="Y369" s="74" t="s">
        <v>248</v>
      </c>
      <c r="Z369" s="74">
        <f t="shared" si="14"/>
        <v>46310</v>
      </c>
    </row>
    <row r="370" spans="19:26">
      <c r="S370" s="87">
        <v>27</v>
      </c>
      <c r="T370" s="88">
        <v>2026</v>
      </c>
      <c r="U370" s="89">
        <v>9</v>
      </c>
      <c r="V370" s="208">
        <f t="shared" si="13"/>
        <v>46292</v>
      </c>
      <c r="W370" s="71">
        <v>27</v>
      </c>
      <c r="X370" s="82" t="s">
        <v>61</v>
      </c>
      <c r="Y370" s="74" t="s">
        <v>249</v>
      </c>
      <c r="Z370" s="74">
        <f t="shared" si="14"/>
        <v>46318</v>
      </c>
    </row>
    <row r="371" spans="19:26">
      <c r="S371" s="87">
        <v>7</v>
      </c>
      <c r="T371" s="88">
        <v>2026</v>
      </c>
      <c r="U371" s="89">
        <v>10</v>
      </c>
      <c r="V371" s="208">
        <f t="shared" si="13"/>
        <v>46302</v>
      </c>
      <c r="W371" s="71">
        <v>7</v>
      </c>
      <c r="X371" s="82" t="s">
        <v>66</v>
      </c>
      <c r="Y371" s="74" t="s">
        <v>250</v>
      </c>
      <c r="Z371" s="74">
        <f t="shared" si="14"/>
        <v>46327</v>
      </c>
    </row>
    <row r="372" spans="19:26">
      <c r="S372" s="87">
        <v>16</v>
      </c>
      <c r="T372" s="88">
        <v>2026</v>
      </c>
      <c r="U372" s="89">
        <v>10</v>
      </c>
      <c r="V372" s="208">
        <f t="shared" si="13"/>
        <v>46311</v>
      </c>
      <c r="W372" s="71">
        <v>16</v>
      </c>
      <c r="X372" s="82" t="s">
        <v>64</v>
      </c>
      <c r="Y372" s="74" t="s">
        <v>251</v>
      </c>
      <c r="Z372" s="74">
        <f t="shared" si="14"/>
        <v>46334</v>
      </c>
    </row>
    <row r="373" spans="19:26">
      <c r="S373" s="87">
        <v>23</v>
      </c>
      <c r="T373" s="88">
        <v>2026</v>
      </c>
      <c r="U373" s="89">
        <v>10</v>
      </c>
      <c r="V373" s="208">
        <f t="shared" si="13"/>
        <v>46318</v>
      </c>
      <c r="W373" s="71">
        <v>23</v>
      </c>
      <c r="X373" s="82" t="s">
        <v>64</v>
      </c>
      <c r="Y373" s="74" t="s">
        <v>252</v>
      </c>
      <c r="Z373" s="74">
        <f t="shared" si="14"/>
        <v>46341</v>
      </c>
    </row>
    <row r="374" spans="19:26">
      <c r="S374" s="87">
        <v>27</v>
      </c>
      <c r="T374" s="88">
        <v>2026</v>
      </c>
      <c r="U374" s="89">
        <v>10</v>
      </c>
      <c r="V374" s="208">
        <f t="shared" si="13"/>
        <v>46322</v>
      </c>
      <c r="W374" s="71">
        <v>27</v>
      </c>
      <c r="X374" s="82" t="s">
        <v>69</v>
      </c>
      <c r="Y374" s="74" t="s">
        <v>253</v>
      </c>
      <c r="Z374" s="74">
        <f t="shared" si="14"/>
        <v>46349</v>
      </c>
    </row>
    <row r="375" spans="19:26">
      <c r="S375" s="87">
        <v>7</v>
      </c>
      <c r="T375" s="88">
        <v>2026</v>
      </c>
      <c r="U375" s="89">
        <v>11</v>
      </c>
      <c r="V375" s="208">
        <f t="shared" si="13"/>
        <v>46333</v>
      </c>
      <c r="W375" s="71">
        <v>7</v>
      </c>
      <c r="X375" s="82" t="s">
        <v>121</v>
      </c>
      <c r="Y375" s="74" t="s">
        <v>254</v>
      </c>
      <c r="Z375" s="74">
        <f t="shared" si="14"/>
        <v>46357</v>
      </c>
    </row>
    <row r="376" spans="19:26">
      <c r="S376" s="87">
        <v>16</v>
      </c>
      <c r="T376" s="88">
        <v>2026</v>
      </c>
      <c r="U376" s="89">
        <v>11</v>
      </c>
      <c r="V376" s="208">
        <f t="shared" si="13"/>
        <v>46342</v>
      </c>
      <c r="W376" s="71">
        <v>16</v>
      </c>
      <c r="X376" s="82" t="s">
        <v>76</v>
      </c>
      <c r="Y376" s="74" t="s">
        <v>255</v>
      </c>
      <c r="Z376" s="74">
        <f t="shared" si="14"/>
        <v>46364</v>
      </c>
    </row>
    <row r="377" spans="19:26">
      <c r="S377" s="87">
        <v>23</v>
      </c>
      <c r="T377" s="88">
        <v>2026</v>
      </c>
      <c r="U377" s="89">
        <v>11</v>
      </c>
      <c r="V377" s="208">
        <f t="shared" si="13"/>
        <v>46349</v>
      </c>
      <c r="W377" s="71">
        <v>23</v>
      </c>
      <c r="X377" s="82" t="s">
        <v>76</v>
      </c>
      <c r="Y377" s="74" t="s">
        <v>256</v>
      </c>
      <c r="Z377" s="74">
        <f t="shared" si="14"/>
        <v>46371</v>
      </c>
    </row>
    <row r="378" spans="19:26">
      <c r="S378" s="87">
        <v>27</v>
      </c>
      <c r="T378" s="88">
        <v>2026</v>
      </c>
      <c r="U378" s="89">
        <v>11</v>
      </c>
      <c r="V378" s="208">
        <f t="shared" si="13"/>
        <v>46353</v>
      </c>
      <c r="W378" s="71">
        <v>27</v>
      </c>
      <c r="X378" s="82" t="s">
        <v>64</v>
      </c>
      <c r="Y378" s="74" t="s">
        <v>257</v>
      </c>
      <c r="Z378" s="74">
        <f t="shared" si="14"/>
        <v>46379</v>
      </c>
    </row>
    <row r="379" spans="19:26">
      <c r="S379" s="87">
        <v>7</v>
      </c>
      <c r="T379" s="88">
        <v>2026</v>
      </c>
      <c r="U379" s="89">
        <v>12</v>
      </c>
      <c r="V379" s="208">
        <f t="shared" si="13"/>
        <v>46363</v>
      </c>
      <c r="W379" s="71">
        <v>7</v>
      </c>
      <c r="X379" s="82" t="s">
        <v>76</v>
      </c>
      <c r="Y379" s="74" t="s">
        <v>258</v>
      </c>
      <c r="Z379" s="74">
        <f t="shared" si="14"/>
        <v>46388</v>
      </c>
    </row>
    <row r="380" spans="19:26">
      <c r="S380" s="87">
        <v>16</v>
      </c>
      <c r="T380" s="88">
        <v>2026</v>
      </c>
      <c r="U380" s="89">
        <v>12</v>
      </c>
      <c r="V380" s="208">
        <f t="shared" si="13"/>
        <v>46372</v>
      </c>
      <c r="W380" s="71">
        <v>16</v>
      </c>
      <c r="X380" s="82" t="s">
        <v>66</v>
      </c>
      <c r="Y380" s="74" t="s">
        <v>259</v>
      </c>
      <c r="Z380" s="74">
        <f t="shared" si="14"/>
        <v>46395</v>
      </c>
    </row>
    <row r="381" spans="19:26">
      <c r="S381" s="90">
        <v>23</v>
      </c>
      <c r="T381" s="88">
        <v>2026</v>
      </c>
      <c r="U381" s="91">
        <v>12</v>
      </c>
      <c r="V381" s="208">
        <f t="shared" si="13"/>
        <v>46379</v>
      </c>
      <c r="W381" s="71">
        <v>23</v>
      </c>
      <c r="X381" s="82" t="s">
        <v>66</v>
      </c>
      <c r="Y381" s="74" t="s">
        <v>260</v>
      </c>
      <c r="Z381" s="74">
        <f t="shared" si="14"/>
        <v>46402</v>
      </c>
    </row>
    <row r="382" spans="19:26">
      <c r="S382" s="87">
        <v>27</v>
      </c>
      <c r="T382" s="88">
        <v>2026</v>
      </c>
      <c r="U382" s="89">
        <v>12</v>
      </c>
      <c r="V382" s="208">
        <f t="shared" si="13"/>
        <v>46383</v>
      </c>
      <c r="W382" s="71">
        <v>27</v>
      </c>
      <c r="X382" s="82" t="s">
        <v>61</v>
      </c>
      <c r="Y382" s="74" t="s">
        <v>261</v>
      </c>
      <c r="Z382" s="74">
        <f t="shared" si="14"/>
        <v>46410</v>
      </c>
    </row>
    <row r="383" spans="19:26">
      <c r="S383" s="87">
        <v>7</v>
      </c>
      <c r="T383" s="88">
        <v>2027</v>
      </c>
      <c r="U383" s="89">
        <v>1</v>
      </c>
      <c r="V383" s="208">
        <f t="shared" si="13"/>
        <v>46394</v>
      </c>
      <c r="W383" s="71">
        <v>7</v>
      </c>
      <c r="X383" s="82" t="s">
        <v>62</v>
      </c>
      <c r="Y383" s="74" t="s">
        <v>262</v>
      </c>
      <c r="Z383" s="74">
        <f t="shared" si="14"/>
        <v>46419</v>
      </c>
    </row>
    <row r="384" spans="19:26">
      <c r="S384" s="87">
        <v>16</v>
      </c>
      <c r="T384" s="88">
        <v>2027</v>
      </c>
      <c r="U384" s="89">
        <v>1</v>
      </c>
      <c r="V384" s="208">
        <f t="shared" si="13"/>
        <v>46403</v>
      </c>
      <c r="W384" s="71">
        <v>16</v>
      </c>
      <c r="X384" s="82" t="s">
        <v>121</v>
      </c>
      <c r="Y384" s="74" t="s">
        <v>263</v>
      </c>
      <c r="Z384" s="74">
        <f t="shared" si="14"/>
        <v>46426</v>
      </c>
    </row>
    <row r="385" spans="19:26">
      <c r="S385" s="87">
        <v>23</v>
      </c>
      <c r="T385" s="88">
        <v>2027</v>
      </c>
      <c r="U385" s="89">
        <v>1</v>
      </c>
      <c r="V385" s="208">
        <f t="shared" si="13"/>
        <v>46410</v>
      </c>
      <c r="W385" s="71">
        <v>23</v>
      </c>
      <c r="X385" s="82" t="s">
        <v>121</v>
      </c>
      <c r="Y385" s="74" t="s">
        <v>264</v>
      </c>
      <c r="Z385" s="74">
        <f t="shared" si="14"/>
        <v>46433</v>
      </c>
    </row>
    <row r="386" spans="19:26">
      <c r="S386" s="87">
        <v>27</v>
      </c>
      <c r="T386" s="88">
        <v>2027</v>
      </c>
      <c r="U386" s="89">
        <v>1</v>
      </c>
      <c r="V386" s="208">
        <f t="shared" si="13"/>
        <v>46414</v>
      </c>
      <c r="W386" s="71">
        <v>27</v>
      </c>
      <c r="X386" s="82" t="s">
        <v>66</v>
      </c>
      <c r="Y386" s="74" t="s">
        <v>265</v>
      </c>
      <c r="Z386" s="74">
        <f t="shared" si="14"/>
        <v>46441</v>
      </c>
    </row>
    <row r="387" spans="19:26">
      <c r="S387" s="87">
        <v>7</v>
      </c>
      <c r="T387" s="88">
        <v>2027</v>
      </c>
      <c r="U387" s="89">
        <v>2</v>
      </c>
      <c r="V387" s="208">
        <f t="shared" ref="V387:V450" si="15">DATE(T387,U387,S387)</f>
        <v>46425</v>
      </c>
      <c r="W387" s="71">
        <v>7</v>
      </c>
      <c r="X387" s="82" t="s">
        <v>61</v>
      </c>
      <c r="Y387" s="74" t="s">
        <v>266</v>
      </c>
      <c r="Z387" s="74">
        <f t="shared" si="14"/>
        <v>46447</v>
      </c>
    </row>
    <row r="388" spans="19:26">
      <c r="S388" s="87">
        <v>16</v>
      </c>
      <c r="T388" s="88">
        <v>2027</v>
      </c>
      <c r="U388" s="89">
        <v>2</v>
      </c>
      <c r="V388" s="208">
        <f t="shared" si="15"/>
        <v>46434</v>
      </c>
      <c r="W388" s="71">
        <v>16</v>
      </c>
      <c r="X388" s="82" t="s">
        <v>69</v>
      </c>
      <c r="Y388" s="74" t="s">
        <v>267</v>
      </c>
      <c r="Z388" s="74">
        <f t="shared" si="14"/>
        <v>46454</v>
      </c>
    </row>
    <row r="389" spans="19:26">
      <c r="S389" s="87">
        <v>23</v>
      </c>
      <c r="T389" s="88">
        <v>2027</v>
      </c>
      <c r="U389" s="89">
        <v>2</v>
      </c>
      <c r="V389" s="208">
        <f t="shared" si="15"/>
        <v>46441</v>
      </c>
      <c r="W389" s="71">
        <v>23</v>
      </c>
      <c r="X389" s="82" t="s">
        <v>69</v>
      </c>
      <c r="Y389" s="74" t="s">
        <v>268</v>
      </c>
      <c r="Z389" s="74">
        <f t="shared" si="14"/>
        <v>46461</v>
      </c>
    </row>
    <row r="390" spans="19:26">
      <c r="S390" s="87">
        <v>27</v>
      </c>
      <c r="T390" s="88">
        <v>2027</v>
      </c>
      <c r="U390" s="89">
        <v>2</v>
      </c>
      <c r="V390" s="208">
        <f t="shared" si="15"/>
        <v>46445</v>
      </c>
      <c r="W390" s="71">
        <v>27</v>
      </c>
      <c r="X390" s="82" t="s">
        <v>121</v>
      </c>
      <c r="Y390" s="74" t="s">
        <v>269</v>
      </c>
      <c r="Z390" s="74">
        <f t="shared" si="14"/>
        <v>46469</v>
      </c>
    </row>
    <row r="391" spans="19:26">
      <c r="S391" s="87">
        <v>7</v>
      </c>
      <c r="T391" s="88">
        <v>2027</v>
      </c>
      <c r="U391" s="89">
        <v>3</v>
      </c>
      <c r="V391" s="208">
        <f t="shared" si="15"/>
        <v>46453</v>
      </c>
      <c r="W391" s="71">
        <v>7</v>
      </c>
      <c r="X391" s="82" t="s">
        <v>61</v>
      </c>
      <c r="Y391" s="74" t="s">
        <v>270</v>
      </c>
      <c r="Z391" s="74">
        <f t="shared" si="14"/>
        <v>46478</v>
      </c>
    </row>
    <row r="392" spans="19:26">
      <c r="S392" s="87">
        <v>16</v>
      </c>
      <c r="T392" s="88">
        <v>2027</v>
      </c>
      <c r="U392" s="89">
        <v>3</v>
      </c>
      <c r="V392" s="208">
        <f t="shared" si="15"/>
        <v>46462</v>
      </c>
      <c r="W392" s="71">
        <v>16</v>
      </c>
      <c r="X392" s="82" t="s">
        <v>69</v>
      </c>
      <c r="Y392" s="74" t="s">
        <v>271</v>
      </c>
      <c r="Z392" s="74">
        <f t="shared" si="14"/>
        <v>46485</v>
      </c>
    </row>
    <row r="393" spans="19:26">
      <c r="S393" s="87">
        <v>23</v>
      </c>
      <c r="T393" s="88">
        <v>2027</v>
      </c>
      <c r="U393" s="89">
        <v>3</v>
      </c>
      <c r="V393" s="208">
        <f t="shared" si="15"/>
        <v>46469</v>
      </c>
      <c r="W393" s="71">
        <v>23</v>
      </c>
      <c r="X393" s="82" t="s">
        <v>69</v>
      </c>
      <c r="Y393" s="74" t="s">
        <v>272</v>
      </c>
      <c r="Z393" s="74">
        <f t="shared" si="14"/>
        <v>46492</v>
      </c>
    </row>
    <row r="394" spans="19:26">
      <c r="S394" s="87">
        <v>27</v>
      </c>
      <c r="T394" s="88">
        <v>2027</v>
      </c>
      <c r="U394" s="89">
        <v>3</v>
      </c>
      <c r="V394" s="208">
        <f t="shared" si="15"/>
        <v>46473</v>
      </c>
      <c r="W394" s="71">
        <v>27</v>
      </c>
      <c r="X394" s="82" t="s">
        <v>121</v>
      </c>
      <c r="Y394" s="74" t="s">
        <v>273</v>
      </c>
      <c r="Z394" s="74">
        <f t="shared" si="14"/>
        <v>46500</v>
      </c>
    </row>
    <row r="395" spans="19:26">
      <c r="S395" s="87">
        <v>7</v>
      </c>
      <c r="T395" s="88">
        <v>2027</v>
      </c>
      <c r="U395" s="89">
        <v>4</v>
      </c>
      <c r="V395" s="208">
        <f t="shared" si="15"/>
        <v>46484</v>
      </c>
      <c r="W395" s="71">
        <v>7</v>
      </c>
      <c r="X395" s="82" t="s">
        <v>66</v>
      </c>
      <c r="Y395" s="74" t="s">
        <v>274</v>
      </c>
      <c r="Z395" s="74">
        <f t="shared" si="14"/>
        <v>46508</v>
      </c>
    </row>
    <row r="396" spans="19:26">
      <c r="S396" s="87">
        <v>16</v>
      </c>
      <c r="T396" s="88">
        <v>2027</v>
      </c>
      <c r="U396" s="89">
        <v>4</v>
      </c>
      <c r="V396" s="208">
        <f t="shared" si="15"/>
        <v>46493</v>
      </c>
      <c r="W396" s="71">
        <v>16</v>
      </c>
      <c r="X396" s="82" t="s">
        <v>64</v>
      </c>
      <c r="Y396" s="74" t="s">
        <v>275</v>
      </c>
      <c r="Z396" s="74">
        <f t="shared" si="14"/>
        <v>46515</v>
      </c>
    </row>
    <row r="397" spans="19:26">
      <c r="S397" s="87">
        <v>23</v>
      </c>
      <c r="T397" s="88">
        <v>2027</v>
      </c>
      <c r="U397" s="89">
        <v>4</v>
      </c>
      <c r="V397" s="208">
        <f t="shared" si="15"/>
        <v>46500</v>
      </c>
      <c r="W397" s="71">
        <v>23</v>
      </c>
      <c r="X397" s="82" t="s">
        <v>64</v>
      </c>
      <c r="Y397" s="74" t="s">
        <v>276</v>
      </c>
      <c r="Z397" s="74">
        <f t="shared" si="14"/>
        <v>46522</v>
      </c>
    </row>
    <row r="398" spans="19:26">
      <c r="S398" s="87">
        <v>27</v>
      </c>
      <c r="T398" s="88">
        <v>2027</v>
      </c>
      <c r="U398" s="89">
        <v>4</v>
      </c>
      <c r="V398" s="208">
        <f t="shared" si="15"/>
        <v>46504</v>
      </c>
      <c r="W398" s="71">
        <v>27</v>
      </c>
      <c r="X398" s="82" t="s">
        <v>69</v>
      </c>
      <c r="Y398" s="74" t="s">
        <v>277</v>
      </c>
      <c r="Z398" s="74">
        <f t="shared" si="14"/>
        <v>46530</v>
      </c>
    </row>
    <row r="399" spans="19:26">
      <c r="S399" s="87">
        <v>7</v>
      </c>
      <c r="T399" s="88">
        <v>2027</v>
      </c>
      <c r="U399" s="89">
        <v>5</v>
      </c>
      <c r="V399" s="208">
        <f t="shared" si="15"/>
        <v>46514</v>
      </c>
      <c r="W399" s="71">
        <v>7</v>
      </c>
      <c r="X399" s="82" t="s">
        <v>64</v>
      </c>
      <c r="Y399" s="74" t="s">
        <v>278</v>
      </c>
      <c r="Z399" s="74">
        <f t="shared" si="14"/>
        <v>46539</v>
      </c>
    </row>
    <row r="400" spans="19:26">
      <c r="S400" s="87">
        <v>16</v>
      </c>
      <c r="T400" s="88">
        <v>2027</v>
      </c>
      <c r="U400" s="89">
        <v>5</v>
      </c>
      <c r="V400" s="208">
        <f t="shared" si="15"/>
        <v>46523</v>
      </c>
      <c r="W400" s="71">
        <v>16</v>
      </c>
      <c r="X400" s="82" t="s">
        <v>61</v>
      </c>
      <c r="Y400" s="74" t="s">
        <v>279</v>
      </c>
      <c r="Z400" s="74">
        <f t="shared" si="14"/>
        <v>46546</v>
      </c>
    </row>
    <row r="401" spans="19:26">
      <c r="S401" s="87">
        <v>23</v>
      </c>
      <c r="T401" s="88">
        <v>2027</v>
      </c>
      <c r="U401" s="89">
        <v>5</v>
      </c>
      <c r="V401" s="208">
        <f t="shared" si="15"/>
        <v>46530</v>
      </c>
      <c r="W401" s="71">
        <v>23</v>
      </c>
      <c r="X401" s="82" t="s">
        <v>61</v>
      </c>
      <c r="Y401" s="74" t="s">
        <v>280</v>
      </c>
      <c r="Z401" s="74">
        <f t="shared" si="14"/>
        <v>46553</v>
      </c>
    </row>
    <row r="402" spans="19:26">
      <c r="S402" s="87">
        <v>27</v>
      </c>
      <c r="T402" s="88">
        <v>2027</v>
      </c>
      <c r="U402" s="89">
        <v>5</v>
      </c>
      <c r="V402" s="208">
        <f t="shared" si="15"/>
        <v>46534</v>
      </c>
      <c r="W402" s="71">
        <v>27</v>
      </c>
      <c r="X402" s="82" t="s">
        <v>62</v>
      </c>
      <c r="Y402" s="74" t="s">
        <v>281</v>
      </c>
      <c r="Z402" s="74">
        <f t="shared" si="14"/>
        <v>46561</v>
      </c>
    </row>
    <row r="403" spans="19:26">
      <c r="S403" s="87">
        <v>7</v>
      </c>
      <c r="T403" s="88">
        <v>2027</v>
      </c>
      <c r="U403" s="89">
        <v>6</v>
      </c>
      <c r="V403" s="208">
        <f t="shared" si="15"/>
        <v>46545</v>
      </c>
      <c r="W403" s="71">
        <v>7</v>
      </c>
      <c r="X403" s="82" t="s">
        <v>76</v>
      </c>
      <c r="Y403" s="74" t="s">
        <v>282</v>
      </c>
      <c r="Z403" s="74">
        <f t="shared" si="14"/>
        <v>46569</v>
      </c>
    </row>
    <row r="404" spans="19:26">
      <c r="S404" s="87">
        <v>16</v>
      </c>
      <c r="T404" s="88">
        <v>2027</v>
      </c>
      <c r="U404" s="89">
        <v>6</v>
      </c>
      <c r="V404" s="208">
        <f t="shared" si="15"/>
        <v>46554</v>
      </c>
      <c r="W404" s="71">
        <v>16</v>
      </c>
      <c r="X404" s="82" t="s">
        <v>66</v>
      </c>
      <c r="Y404" s="74" t="s">
        <v>283</v>
      </c>
      <c r="Z404" s="74">
        <f t="shared" si="14"/>
        <v>46576</v>
      </c>
    </row>
    <row r="405" spans="19:26">
      <c r="S405" s="87">
        <v>23</v>
      </c>
      <c r="T405" s="88">
        <v>2027</v>
      </c>
      <c r="U405" s="89">
        <v>6</v>
      </c>
      <c r="V405" s="208">
        <f t="shared" si="15"/>
        <v>46561</v>
      </c>
      <c r="W405" s="71">
        <v>23</v>
      </c>
      <c r="X405" s="82" t="s">
        <v>66</v>
      </c>
      <c r="Y405" s="74" t="s">
        <v>284</v>
      </c>
      <c r="Z405" s="74">
        <f t="shared" si="14"/>
        <v>46583</v>
      </c>
    </row>
    <row r="406" spans="19:26">
      <c r="S406" s="87">
        <v>27</v>
      </c>
      <c r="T406" s="88">
        <v>2027</v>
      </c>
      <c r="U406" s="89">
        <v>6</v>
      </c>
      <c r="V406" s="208">
        <f t="shared" si="15"/>
        <v>46565</v>
      </c>
      <c r="W406" s="71">
        <v>27</v>
      </c>
      <c r="X406" s="82" t="s">
        <v>61</v>
      </c>
      <c r="Y406" s="74" t="s">
        <v>285</v>
      </c>
      <c r="Z406" s="74">
        <f t="shared" si="14"/>
        <v>46591</v>
      </c>
    </row>
    <row r="407" spans="19:26">
      <c r="S407" s="87">
        <v>7</v>
      </c>
      <c r="T407" s="88">
        <v>2027</v>
      </c>
      <c r="U407" s="89">
        <v>7</v>
      </c>
      <c r="V407" s="208">
        <f t="shared" si="15"/>
        <v>46575</v>
      </c>
      <c r="W407" s="71">
        <v>7</v>
      </c>
      <c r="X407" s="82" t="s">
        <v>66</v>
      </c>
      <c r="Y407" s="74" t="s">
        <v>286</v>
      </c>
      <c r="Z407" s="74">
        <f t="shared" si="14"/>
        <v>46600</v>
      </c>
    </row>
    <row r="408" spans="19:26">
      <c r="S408" s="87">
        <v>16</v>
      </c>
      <c r="T408" s="88">
        <v>2027</v>
      </c>
      <c r="U408" s="89">
        <v>7</v>
      </c>
      <c r="V408" s="208">
        <f t="shared" si="15"/>
        <v>46584</v>
      </c>
      <c r="W408" s="71">
        <v>16</v>
      </c>
      <c r="X408" s="82" t="s">
        <v>64</v>
      </c>
      <c r="Y408" s="74" t="s">
        <v>287</v>
      </c>
      <c r="Z408" s="74">
        <f t="shared" si="14"/>
        <v>46607</v>
      </c>
    </row>
    <row r="409" spans="19:26">
      <c r="S409" s="87">
        <v>23</v>
      </c>
      <c r="T409" s="88">
        <v>2027</v>
      </c>
      <c r="U409" s="89">
        <v>7</v>
      </c>
      <c r="V409" s="208">
        <f t="shared" si="15"/>
        <v>46591</v>
      </c>
      <c r="W409" s="71">
        <v>23</v>
      </c>
      <c r="X409" s="82" t="s">
        <v>64</v>
      </c>
      <c r="Y409" s="74" t="s">
        <v>288</v>
      </c>
      <c r="Z409" s="74">
        <f t="shared" si="14"/>
        <v>46614</v>
      </c>
    </row>
    <row r="410" spans="19:26">
      <c r="S410" s="87">
        <v>27</v>
      </c>
      <c r="T410" s="88">
        <v>2027</v>
      </c>
      <c r="U410" s="89">
        <v>7</v>
      </c>
      <c r="V410" s="208">
        <f t="shared" si="15"/>
        <v>46595</v>
      </c>
      <c r="W410" s="71">
        <v>27</v>
      </c>
      <c r="X410" s="82" t="s">
        <v>69</v>
      </c>
      <c r="Y410" s="74" t="s">
        <v>289</v>
      </c>
      <c r="Z410" s="74">
        <f t="shared" si="14"/>
        <v>46622</v>
      </c>
    </row>
    <row r="411" spans="19:26">
      <c r="S411" s="87">
        <v>7</v>
      </c>
      <c r="T411" s="88">
        <v>2027</v>
      </c>
      <c r="U411" s="89">
        <v>8</v>
      </c>
      <c r="V411" s="208">
        <f t="shared" si="15"/>
        <v>46606</v>
      </c>
      <c r="W411" s="71">
        <v>7</v>
      </c>
      <c r="X411" s="82" t="s">
        <v>121</v>
      </c>
      <c r="Y411" s="74" t="s">
        <v>290</v>
      </c>
      <c r="Z411" s="74">
        <f t="shared" ref="Z411:Z474" si="16">DATE(YEAR(Y411)+1/12,MONTH(Y411),DAY(Y411))</f>
        <v>46631</v>
      </c>
    </row>
    <row r="412" spans="19:26">
      <c r="S412" s="87">
        <v>16</v>
      </c>
      <c r="T412" s="88">
        <v>2027</v>
      </c>
      <c r="U412" s="89">
        <v>8</v>
      </c>
      <c r="V412" s="208">
        <f t="shared" si="15"/>
        <v>46615</v>
      </c>
      <c r="W412" s="71">
        <v>16</v>
      </c>
      <c r="X412" s="82" t="s">
        <v>76</v>
      </c>
      <c r="Y412" s="74" t="s">
        <v>291</v>
      </c>
      <c r="Z412" s="74">
        <f t="shared" si="16"/>
        <v>46638</v>
      </c>
    </row>
    <row r="413" spans="19:26">
      <c r="S413" s="87">
        <v>23</v>
      </c>
      <c r="T413" s="88">
        <v>2027</v>
      </c>
      <c r="U413" s="89">
        <v>8</v>
      </c>
      <c r="V413" s="208">
        <f t="shared" si="15"/>
        <v>46622</v>
      </c>
      <c r="W413" s="71">
        <v>23</v>
      </c>
      <c r="X413" s="82" t="s">
        <v>76</v>
      </c>
      <c r="Y413" s="74" t="s">
        <v>292</v>
      </c>
      <c r="Z413" s="74">
        <f t="shared" si="16"/>
        <v>46645</v>
      </c>
    </row>
    <row r="414" spans="19:26">
      <c r="S414" s="87">
        <v>27</v>
      </c>
      <c r="T414" s="88">
        <v>2027</v>
      </c>
      <c r="U414" s="89">
        <v>8</v>
      </c>
      <c r="V414" s="208">
        <f t="shared" si="15"/>
        <v>46626</v>
      </c>
      <c r="W414" s="71">
        <v>27</v>
      </c>
      <c r="X414" s="82" t="s">
        <v>64</v>
      </c>
      <c r="Y414" s="74" t="s">
        <v>293</v>
      </c>
      <c r="Z414" s="74">
        <f t="shared" si="16"/>
        <v>46653</v>
      </c>
    </row>
    <row r="415" spans="19:26">
      <c r="S415" s="87">
        <v>7</v>
      </c>
      <c r="T415" s="88">
        <v>2027</v>
      </c>
      <c r="U415" s="89">
        <v>9</v>
      </c>
      <c r="V415" s="208">
        <f t="shared" si="15"/>
        <v>46637</v>
      </c>
      <c r="W415" s="71">
        <v>7</v>
      </c>
      <c r="X415" s="82" t="s">
        <v>69</v>
      </c>
      <c r="Y415" s="74" t="s">
        <v>294</v>
      </c>
      <c r="Z415" s="74">
        <f t="shared" si="16"/>
        <v>46661</v>
      </c>
    </row>
    <row r="416" spans="19:26">
      <c r="S416" s="87">
        <v>16</v>
      </c>
      <c r="T416" s="88">
        <v>2027</v>
      </c>
      <c r="U416" s="89">
        <v>9</v>
      </c>
      <c r="V416" s="208">
        <f t="shared" si="15"/>
        <v>46646</v>
      </c>
      <c r="W416" s="71">
        <v>16</v>
      </c>
      <c r="X416" s="82" t="s">
        <v>62</v>
      </c>
      <c r="Y416" s="74" t="s">
        <v>295</v>
      </c>
      <c r="Z416" s="74">
        <f t="shared" si="16"/>
        <v>46668</v>
      </c>
    </row>
    <row r="417" spans="19:26">
      <c r="S417" s="87">
        <v>23</v>
      </c>
      <c r="T417" s="88">
        <v>2027</v>
      </c>
      <c r="U417" s="89">
        <v>9</v>
      </c>
      <c r="V417" s="208">
        <f t="shared" si="15"/>
        <v>46653</v>
      </c>
      <c r="W417" s="71">
        <v>23</v>
      </c>
      <c r="X417" s="82" t="s">
        <v>62</v>
      </c>
      <c r="Y417" s="74" t="s">
        <v>296</v>
      </c>
      <c r="Z417" s="74">
        <f t="shared" si="16"/>
        <v>46675</v>
      </c>
    </row>
    <row r="418" spans="19:26">
      <c r="S418" s="87">
        <v>27</v>
      </c>
      <c r="T418" s="88">
        <v>2027</v>
      </c>
      <c r="U418" s="89">
        <v>9</v>
      </c>
      <c r="V418" s="208">
        <f t="shared" si="15"/>
        <v>46657</v>
      </c>
      <c r="W418" s="71">
        <v>27</v>
      </c>
      <c r="X418" s="82" t="s">
        <v>76</v>
      </c>
      <c r="Y418" s="74" t="s">
        <v>297</v>
      </c>
      <c r="Z418" s="74">
        <f t="shared" si="16"/>
        <v>46683</v>
      </c>
    </row>
    <row r="419" spans="19:26">
      <c r="S419" s="87">
        <v>7</v>
      </c>
      <c r="T419" s="88">
        <v>2027</v>
      </c>
      <c r="U419" s="89">
        <v>10</v>
      </c>
      <c r="V419" s="208">
        <f t="shared" si="15"/>
        <v>46667</v>
      </c>
      <c r="W419" s="71">
        <v>7</v>
      </c>
      <c r="X419" s="82" t="s">
        <v>62</v>
      </c>
      <c r="Y419" s="74" t="s">
        <v>298</v>
      </c>
      <c r="Z419" s="74">
        <f t="shared" si="16"/>
        <v>46692</v>
      </c>
    </row>
    <row r="420" spans="19:26">
      <c r="S420" s="87">
        <v>16</v>
      </c>
      <c r="T420" s="88">
        <v>2027</v>
      </c>
      <c r="U420" s="89">
        <v>10</v>
      </c>
      <c r="V420" s="208">
        <f t="shared" si="15"/>
        <v>46676</v>
      </c>
      <c r="W420" s="71">
        <v>16</v>
      </c>
      <c r="X420" s="82" t="s">
        <v>121</v>
      </c>
      <c r="Y420" s="74" t="s">
        <v>299</v>
      </c>
      <c r="Z420" s="74">
        <f t="shared" si="16"/>
        <v>46699</v>
      </c>
    </row>
    <row r="421" spans="19:26">
      <c r="S421" s="87">
        <v>23</v>
      </c>
      <c r="T421" s="88">
        <v>2027</v>
      </c>
      <c r="U421" s="89">
        <v>10</v>
      </c>
      <c r="V421" s="208">
        <f t="shared" si="15"/>
        <v>46683</v>
      </c>
      <c r="W421" s="71">
        <v>23</v>
      </c>
      <c r="X421" s="82" t="s">
        <v>121</v>
      </c>
      <c r="Y421" s="74" t="s">
        <v>300</v>
      </c>
      <c r="Z421" s="74">
        <f t="shared" si="16"/>
        <v>46706</v>
      </c>
    </row>
    <row r="422" spans="19:26">
      <c r="S422" s="87">
        <v>27</v>
      </c>
      <c r="T422" s="88">
        <v>2027</v>
      </c>
      <c r="U422" s="89">
        <v>10</v>
      </c>
      <c r="V422" s="208">
        <f t="shared" si="15"/>
        <v>46687</v>
      </c>
      <c r="W422" s="71">
        <v>27</v>
      </c>
      <c r="X422" s="82" t="s">
        <v>66</v>
      </c>
      <c r="Y422" s="74" t="s">
        <v>301</v>
      </c>
      <c r="Z422" s="74">
        <f t="shared" si="16"/>
        <v>46714</v>
      </c>
    </row>
    <row r="423" spans="19:26">
      <c r="S423" s="87">
        <v>7</v>
      </c>
      <c r="T423" s="88">
        <v>2027</v>
      </c>
      <c r="U423" s="89">
        <v>11</v>
      </c>
      <c r="V423" s="208">
        <f t="shared" si="15"/>
        <v>46698</v>
      </c>
      <c r="W423" s="71">
        <v>7</v>
      </c>
      <c r="X423" s="82" t="s">
        <v>61</v>
      </c>
      <c r="Y423" s="74" t="s">
        <v>302</v>
      </c>
      <c r="Z423" s="74">
        <f t="shared" si="16"/>
        <v>46722</v>
      </c>
    </row>
    <row r="424" spans="19:26">
      <c r="S424" s="87">
        <v>16</v>
      </c>
      <c r="T424" s="88">
        <v>2027</v>
      </c>
      <c r="U424" s="89">
        <v>11</v>
      </c>
      <c r="V424" s="208">
        <f t="shared" si="15"/>
        <v>46707</v>
      </c>
      <c r="W424" s="71">
        <v>16</v>
      </c>
      <c r="X424" s="82" t="s">
        <v>69</v>
      </c>
      <c r="Y424" s="74" t="s">
        <v>303</v>
      </c>
      <c r="Z424" s="74">
        <f t="shared" si="16"/>
        <v>46729</v>
      </c>
    </row>
    <row r="425" spans="19:26">
      <c r="S425" s="87">
        <v>23</v>
      </c>
      <c r="T425" s="88">
        <v>2027</v>
      </c>
      <c r="U425" s="89">
        <v>11</v>
      </c>
      <c r="V425" s="208">
        <f t="shared" si="15"/>
        <v>46714</v>
      </c>
      <c r="W425" s="71">
        <v>23</v>
      </c>
      <c r="X425" s="82" t="s">
        <v>69</v>
      </c>
      <c r="Y425" s="74" t="s">
        <v>304</v>
      </c>
      <c r="Z425" s="74">
        <f t="shared" si="16"/>
        <v>46736</v>
      </c>
    </row>
    <row r="426" spans="19:26">
      <c r="S426" s="87">
        <v>27</v>
      </c>
      <c r="T426" s="88">
        <v>2027</v>
      </c>
      <c r="U426" s="89">
        <v>11</v>
      </c>
      <c r="V426" s="208">
        <f t="shared" si="15"/>
        <v>46718</v>
      </c>
      <c r="W426" s="71">
        <v>27</v>
      </c>
      <c r="X426" s="82" t="s">
        <v>121</v>
      </c>
      <c r="Y426" s="74" t="s">
        <v>305</v>
      </c>
      <c r="Z426" s="74">
        <f t="shared" si="16"/>
        <v>46744</v>
      </c>
    </row>
    <row r="427" spans="19:26">
      <c r="S427" s="87">
        <v>7</v>
      </c>
      <c r="T427" s="88">
        <v>2027</v>
      </c>
      <c r="U427" s="89">
        <v>12</v>
      </c>
      <c r="V427" s="208">
        <f t="shared" si="15"/>
        <v>46728</v>
      </c>
      <c r="W427" s="71">
        <v>7</v>
      </c>
      <c r="X427" s="82" t="s">
        <v>69</v>
      </c>
      <c r="Y427" s="74" t="s">
        <v>306</v>
      </c>
      <c r="Z427" s="74">
        <f t="shared" si="16"/>
        <v>46753</v>
      </c>
    </row>
    <row r="428" spans="19:26">
      <c r="S428" s="87">
        <v>16</v>
      </c>
      <c r="T428" s="88">
        <v>2027</v>
      </c>
      <c r="U428" s="89">
        <v>12</v>
      </c>
      <c r="V428" s="208">
        <f t="shared" si="15"/>
        <v>46737</v>
      </c>
      <c r="W428" s="71">
        <v>16</v>
      </c>
      <c r="X428" s="82" t="s">
        <v>62</v>
      </c>
      <c r="Y428" s="74" t="s">
        <v>307</v>
      </c>
      <c r="Z428" s="74">
        <f t="shared" si="16"/>
        <v>46760</v>
      </c>
    </row>
    <row r="429" spans="19:26">
      <c r="S429" s="90">
        <v>23</v>
      </c>
      <c r="T429" s="88">
        <v>2027</v>
      </c>
      <c r="U429" s="91">
        <v>12</v>
      </c>
      <c r="V429" s="208">
        <f t="shared" si="15"/>
        <v>46744</v>
      </c>
      <c r="W429" s="71">
        <v>23</v>
      </c>
      <c r="X429" s="82" t="s">
        <v>62</v>
      </c>
      <c r="Y429" s="74" t="s">
        <v>308</v>
      </c>
      <c r="Z429" s="74">
        <f t="shared" si="16"/>
        <v>46767</v>
      </c>
    </row>
    <row r="430" spans="19:26">
      <c r="S430" s="87">
        <v>27</v>
      </c>
      <c r="T430" s="88">
        <v>2027</v>
      </c>
      <c r="U430" s="89">
        <v>12</v>
      </c>
      <c r="V430" s="208">
        <f t="shared" si="15"/>
        <v>46748</v>
      </c>
      <c r="W430" s="71">
        <v>27</v>
      </c>
      <c r="X430" s="82" t="s">
        <v>76</v>
      </c>
      <c r="Y430" s="74" t="s">
        <v>309</v>
      </c>
      <c r="Z430" s="74">
        <f t="shared" si="16"/>
        <v>46775</v>
      </c>
    </row>
    <row r="431" spans="19:26">
      <c r="S431" s="87">
        <v>7</v>
      </c>
      <c r="T431" s="88">
        <v>2028</v>
      </c>
      <c r="U431" s="89">
        <v>1</v>
      </c>
      <c r="V431" s="208">
        <f t="shared" si="15"/>
        <v>46759</v>
      </c>
      <c r="W431" s="71">
        <v>7</v>
      </c>
      <c r="X431" s="82" t="s">
        <v>64</v>
      </c>
      <c r="Y431" s="74" t="s">
        <v>310</v>
      </c>
      <c r="Z431" s="74">
        <f t="shared" si="16"/>
        <v>46784</v>
      </c>
    </row>
    <row r="432" spans="19:26">
      <c r="S432" s="87">
        <v>16</v>
      </c>
      <c r="T432" s="88">
        <v>2028</v>
      </c>
      <c r="U432" s="89">
        <v>1</v>
      </c>
      <c r="V432" s="208">
        <f t="shared" si="15"/>
        <v>46768</v>
      </c>
      <c r="W432" s="71">
        <v>16</v>
      </c>
      <c r="X432" s="82" t="s">
        <v>61</v>
      </c>
      <c r="Y432" s="74" t="s">
        <v>311</v>
      </c>
      <c r="Z432" s="74">
        <f t="shared" si="16"/>
        <v>46791</v>
      </c>
    </row>
    <row r="433" spans="19:26">
      <c r="S433" s="87">
        <v>23</v>
      </c>
      <c r="T433" s="88">
        <v>2028</v>
      </c>
      <c r="U433" s="89">
        <v>1</v>
      </c>
      <c r="V433" s="208">
        <f t="shared" si="15"/>
        <v>46775</v>
      </c>
      <c r="W433" s="71">
        <v>23</v>
      </c>
      <c r="X433" s="82" t="s">
        <v>61</v>
      </c>
      <c r="Y433" s="74" t="s">
        <v>312</v>
      </c>
      <c r="Z433" s="74">
        <f t="shared" si="16"/>
        <v>46798</v>
      </c>
    </row>
    <row r="434" spans="19:26">
      <c r="S434" s="87">
        <v>27</v>
      </c>
      <c r="T434" s="88">
        <v>2028</v>
      </c>
      <c r="U434" s="89">
        <v>1</v>
      </c>
      <c r="V434" s="208">
        <f t="shared" si="15"/>
        <v>46779</v>
      </c>
      <c r="W434" s="71">
        <v>27</v>
      </c>
      <c r="X434" s="82" t="s">
        <v>62</v>
      </c>
      <c r="Y434" s="74" t="s">
        <v>313</v>
      </c>
      <c r="Z434" s="74">
        <f t="shared" si="16"/>
        <v>46806</v>
      </c>
    </row>
    <row r="435" spans="19:26">
      <c r="S435" s="87">
        <v>7</v>
      </c>
      <c r="T435" s="88">
        <v>2028</v>
      </c>
      <c r="U435" s="89">
        <v>2</v>
      </c>
      <c r="V435" s="208">
        <f t="shared" si="15"/>
        <v>46790</v>
      </c>
      <c r="W435" s="71">
        <v>7</v>
      </c>
      <c r="X435" s="82" t="s">
        <v>76</v>
      </c>
      <c r="Y435" s="74" t="s">
        <v>314</v>
      </c>
      <c r="Z435" s="74">
        <f t="shared" si="16"/>
        <v>46813</v>
      </c>
    </row>
    <row r="436" spans="19:26">
      <c r="S436" s="87">
        <v>16</v>
      </c>
      <c r="T436" s="88">
        <v>2028</v>
      </c>
      <c r="U436" s="89">
        <v>2</v>
      </c>
      <c r="V436" s="208">
        <f t="shared" si="15"/>
        <v>46799</v>
      </c>
      <c r="W436" s="71">
        <v>16</v>
      </c>
      <c r="X436" s="82" t="s">
        <v>66</v>
      </c>
      <c r="Y436" s="74" t="s">
        <v>315</v>
      </c>
      <c r="Z436" s="74">
        <f t="shared" si="16"/>
        <v>46820</v>
      </c>
    </row>
    <row r="437" spans="19:26">
      <c r="S437" s="87">
        <v>23</v>
      </c>
      <c r="T437" s="88">
        <v>2028</v>
      </c>
      <c r="U437" s="89">
        <v>2</v>
      </c>
      <c r="V437" s="208">
        <f t="shared" si="15"/>
        <v>46806</v>
      </c>
      <c r="W437" s="71">
        <v>23</v>
      </c>
      <c r="X437" s="82" t="s">
        <v>66</v>
      </c>
      <c r="Y437" s="74" t="s">
        <v>316</v>
      </c>
      <c r="Z437" s="74">
        <f t="shared" si="16"/>
        <v>46827</v>
      </c>
    </row>
    <row r="438" spans="19:26">
      <c r="S438" s="87">
        <v>27</v>
      </c>
      <c r="T438" s="88">
        <v>2028</v>
      </c>
      <c r="U438" s="89">
        <v>2</v>
      </c>
      <c r="V438" s="208">
        <f t="shared" si="15"/>
        <v>46810</v>
      </c>
      <c r="W438" s="71">
        <v>27</v>
      </c>
      <c r="X438" s="82" t="s">
        <v>61</v>
      </c>
      <c r="Y438" s="74" t="s">
        <v>317</v>
      </c>
      <c r="Z438" s="74">
        <f t="shared" si="16"/>
        <v>46835</v>
      </c>
    </row>
    <row r="439" spans="19:26">
      <c r="S439" s="87">
        <v>7</v>
      </c>
      <c r="T439" s="88">
        <v>2028</v>
      </c>
      <c r="U439" s="89">
        <v>3</v>
      </c>
      <c r="V439" s="208">
        <f t="shared" si="15"/>
        <v>46819</v>
      </c>
      <c r="W439" s="71">
        <v>7</v>
      </c>
      <c r="X439" s="82" t="s">
        <v>69</v>
      </c>
      <c r="Y439" s="74" t="s">
        <v>318</v>
      </c>
      <c r="Z439" s="74">
        <f t="shared" si="16"/>
        <v>46844</v>
      </c>
    </row>
    <row r="440" spans="19:26">
      <c r="S440" s="87">
        <v>16</v>
      </c>
      <c r="T440" s="88">
        <v>2028</v>
      </c>
      <c r="U440" s="89">
        <v>3</v>
      </c>
      <c r="V440" s="208">
        <f t="shared" si="15"/>
        <v>46828</v>
      </c>
      <c r="W440" s="71">
        <v>16</v>
      </c>
      <c r="X440" s="82" t="s">
        <v>62</v>
      </c>
      <c r="Y440" s="74" t="s">
        <v>319</v>
      </c>
      <c r="Z440" s="74">
        <f t="shared" si="16"/>
        <v>46851</v>
      </c>
    </row>
    <row r="441" spans="19:26">
      <c r="S441" s="87">
        <v>23</v>
      </c>
      <c r="T441" s="88">
        <v>2028</v>
      </c>
      <c r="U441" s="89">
        <v>3</v>
      </c>
      <c r="V441" s="208">
        <f t="shared" si="15"/>
        <v>46835</v>
      </c>
      <c r="W441" s="71">
        <v>23</v>
      </c>
      <c r="X441" s="82" t="s">
        <v>62</v>
      </c>
      <c r="Y441" s="74" t="s">
        <v>320</v>
      </c>
      <c r="Z441" s="74">
        <f t="shared" si="16"/>
        <v>46858</v>
      </c>
    </row>
    <row r="442" spans="19:26">
      <c r="S442" s="87">
        <v>27</v>
      </c>
      <c r="T442" s="88">
        <v>2028</v>
      </c>
      <c r="U442" s="89">
        <v>3</v>
      </c>
      <c r="V442" s="208">
        <f t="shared" si="15"/>
        <v>46839</v>
      </c>
      <c r="W442" s="71">
        <v>27</v>
      </c>
      <c r="X442" s="82" t="s">
        <v>76</v>
      </c>
      <c r="Y442" s="74" t="s">
        <v>321</v>
      </c>
      <c r="Z442" s="74">
        <f t="shared" si="16"/>
        <v>46866</v>
      </c>
    </row>
    <row r="443" spans="19:26">
      <c r="S443" s="87">
        <v>7</v>
      </c>
      <c r="T443" s="88">
        <v>2028</v>
      </c>
      <c r="U443" s="89">
        <v>4</v>
      </c>
      <c r="V443" s="208">
        <f t="shared" si="15"/>
        <v>46850</v>
      </c>
      <c r="W443" s="71">
        <v>7</v>
      </c>
      <c r="X443" s="82" t="s">
        <v>64</v>
      </c>
      <c r="Y443" s="74" t="s">
        <v>322</v>
      </c>
      <c r="Z443" s="74">
        <f t="shared" si="16"/>
        <v>46874</v>
      </c>
    </row>
    <row r="444" spans="19:26">
      <c r="S444" s="87">
        <v>16</v>
      </c>
      <c r="T444" s="88">
        <v>2028</v>
      </c>
      <c r="U444" s="89">
        <v>4</v>
      </c>
      <c r="V444" s="208">
        <f t="shared" si="15"/>
        <v>46859</v>
      </c>
      <c r="W444" s="71">
        <v>16</v>
      </c>
      <c r="X444" s="82" t="s">
        <v>61</v>
      </c>
      <c r="Y444" s="74" t="s">
        <v>323</v>
      </c>
      <c r="Z444" s="74">
        <f t="shared" si="16"/>
        <v>46881</v>
      </c>
    </row>
    <row r="445" spans="19:26">
      <c r="S445" s="87">
        <v>23</v>
      </c>
      <c r="T445" s="88">
        <v>2028</v>
      </c>
      <c r="U445" s="89">
        <v>4</v>
      </c>
      <c r="V445" s="208">
        <f t="shared" si="15"/>
        <v>46866</v>
      </c>
      <c r="W445" s="71">
        <v>23</v>
      </c>
      <c r="X445" s="82" t="s">
        <v>61</v>
      </c>
      <c r="Y445" s="74" t="s">
        <v>324</v>
      </c>
      <c r="Z445" s="74">
        <f t="shared" si="16"/>
        <v>46888</v>
      </c>
    </row>
    <row r="446" spans="19:26">
      <c r="S446" s="87">
        <v>27</v>
      </c>
      <c r="T446" s="88">
        <v>2028</v>
      </c>
      <c r="U446" s="89">
        <v>4</v>
      </c>
      <c r="V446" s="208">
        <f t="shared" si="15"/>
        <v>46870</v>
      </c>
      <c r="W446" s="71">
        <v>27</v>
      </c>
      <c r="X446" s="82" t="s">
        <v>62</v>
      </c>
      <c r="Y446" s="74" t="s">
        <v>325</v>
      </c>
      <c r="Z446" s="74">
        <f t="shared" si="16"/>
        <v>46896</v>
      </c>
    </row>
    <row r="447" spans="19:26">
      <c r="S447" s="87">
        <v>7</v>
      </c>
      <c r="T447" s="88">
        <v>2028</v>
      </c>
      <c r="U447" s="89">
        <v>5</v>
      </c>
      <c r="V447" s="208">
        <f t="shared" si="15"/>
        <v>46880</v>
      </c>
      <c r="W447" s="71">
        <v>7</v>
      </c>
      <c r="X447" s="82" t="s">
        <v>61</v>
      </c>
      <c r="Y447" s="74" t="s">
        <v>326</v>
      </c>
      <c r="Z447" s="74">
        <f t="shared" si="16"/>
        <v>46905</v>
      </c>
    </row>
    <row r="448" spans="19:26">
      <c r="S448" s="87">
        <v>16</v>
      </c>
      <c r="T448" s="88">
        <v>2028</v>
      </c>
      <c r="U448" s="89">
        <v>5</v>
      </c>
      <c r="V448" s="208">
        <f t="shared" si="15"/>
        <v>46889</v>
      </c>
      <c r="W448" s="71">
        <v>16</v>
      </c>
      <c r="X448" s="82" t="s">
        <v>69</v>
      </c>
      <c r="Y448" s="74" t="s">
        <v>327</v>
      </c>
      <c r="Z448" s="74">
        <f t="shared" si="16"/>
        <v>46912</v>
      </c>
    </row>
    <row r="449" spans="19:26">
      <c r="S449" s="87">
        <v>23</v>
      </c>
      <c r="T449" s="88">
        <v>2028</v>
      </c>
      <c r="U449" s="89">
        <v>5</v>
      </c>
      <c r="V449" s="208">
        <f t="shared" si="15"/>
        <v>46896</v>
      </c>
      <c r="W449" s="71">
        <v>23</v>
      </c>
      <c r="X449" s="82" t="s">
        <v>69</v>
      </c>
      <c r="Y449" s="74" t="s">
        <v>328</v>
      </c>
      <c r="Z449" s="74">
        <f t="shared" si="16"/>
        <v>46919</v>
      </c>
    </row>
    <row r="450" spans="19:26">
      <c r="S450" s="87">
        <v>27</v>
      </c>
      <c r="T450" s="88">
        <v>2028</v>
      </c>
      <c r="U450" s="89">
        <v>5</v>
      </c>
      <c r="V450" s="208">
        <f t="shared" si="15"/>
        <v>46900</v>
      </c>
      <c r="W450" s="71">
        <v>27</v>
      </c>
      <c r="X450" s="82" t="s">
        <v>121</v>
      </c>
      <c r="Y450" s="74" t="s">
        <v>329</v>
      </c>
      <c r="Z450" s="74">
        <f t="shared" si="16"/>
        <v>46927</v>
      </c>
    </row>
    <row r="451" spans="19:26">
      <c r="S451" s="87">
        <v>7</v>
      </c>
      <c r="T451" s="88">
        <v>2028</v>
      </c>
      <c r="U451" s="89">
        <v>6</v>
      </c>
      <c r="V451" s="208">
        <f t="shared" ref="V451:V514" si="17">DATE(T451,U451,S451)</f>
        <v>46911</v>
      </c>
      <c r="W451" s="71">
        <v>7</v>
      </c>
      <c r="X451" s="82" t="s">
        <v>66</v>
      </c>
      <c r="Y451" s="74" t="s">
        <v>330</v>
      </c>
      <c r="Z451" s="74">
        <f t="shared" si="16"/>
        <v>46935</v>
      </c>
    </row>
    <row r="452" spans="19:26">
      <c r="S452" s="87">
        <v>16</v>
      </c>
      <c r="T452" s="88">
        <v>2028</v>
      </c>
      <c r="U452" s="89">
        <v>6</v>
      </c>
      <c r="V452" s="208">
        <f t="shared" si="17"/>
        <v>46920</v>
      </c>
      <c r="W452" s="71">
        <v>16</v>
      </c>
      <c r="X452" s="82" t="s">
        <v>64</v>
      </c>
      <c r="Y452" s="74" t="s">
        <v>331</v>
      </c>
      <c r="Z452" s="74">
        <f t="shared" si="16"/>
        <v>46942</v>
      </c>
    </row>
    <row r="453" spans="19:26">
      <c r="S453" s="87">
        <v>23</v>
      </c>
      <c r="T453" s="88">
        <v>2028</v>
      </c>
      <c r="U453" s="89">
        <v>6</v>
      </c>
      <c r="V453" s="208">
        <f t="shared" si="17"/>
        <v>46927</v>
      </c>
      <c r="W453" s="71">
        <v>23</v>
      </c>
      <c r="X453" s="82" t="s">
        <v>64</v>
      </c>
      <c r="Y453" s="74" t="s">
        <v>332</v>
      </c>
      <c r="Z453" s="74">
        <f t="shared" si="16"/>
        <v>46949</v>
      </c>
    </row>
    <row r="454" spans="19:26">
      <c r="S454" s="87">
        <v>27</v>
      </c>
      <c r="T454" s="88">
        <v>2028</v>
      </c>
      <c r="U454" s="89">
        <v>6</v>
      </c>
      <c r="V454" s="208">
        <f t="shared" si="17"/>
        <v>46931</v>
      </c>
      <c r="W454" s="71">
        <v>27</v>
      </c>
      <c r="X454" s="82" t="s">
        <v>69</v>
      </c>
      <c r="Y454" s="74" t="s">
        <v>333</v>
      </c>
      <c r="Z454" s="74">
        <f t="shared" si="16"/>
        <v>46957</v>
      </c>
    </row>
    <row r="455" spans="19:26">
      <c r="S455" s="87">
        <v>7</v>
      </c>
      <c r="T455" s="88">
        <v>2028</v>
      </c>
      <c r="U455" s="89">
        <v>7</v>
      </c>
      <c r="V455" s="208">
        <f t="shared" si="17"/>
        <v>46941</v>
      </c>
      <c r="W455" s="71">
        <v>7</v>
      </c>
      <c r="X455" s="82" t="s">
        <v>64</v>
      </c>
      <c r="Y455" s="74" t="s">
        <v>334</v>
      </c>
      <c r="Z455" s="74">
        <f t="shared" si="16"/>
        <v>46966</v>
      </c>
    </row>
    <row r="456" spans="19:26">
      <c r="S456" s="87">
        <v>16</v>
      </c>
      <c r="T456" s="88">
        <v>2028</v>
      </c>
      <c r="U456" s="89">
        <v>7</v>
      </c>
      <c r="V456" s="208">
        <f t="shared" si="17"/>
        <v>46950</v>
      </c>
      <c r="W456" s="71">
        <v>16</v>
      </c>
      <c r="X456" s="82" t="s">
        <v>61</v>
      </c>
      <c r="Y456" s="74" t="s">
        <v>335</v>
      </c>
      <c r="Z456" s="74">
        <f t="shared" si="16"/>
        <v>46973</v>
      </c>
    </row>
    <row r="457" spans="19:26">
      <c r="S457" s="87">
        <v>23</v>
      </c>
      <c r="T457" s="88">
        <v>2028</v>
      </c>
      <c r="U457" s="89">
        <v>7</v>
      </c>
      <c r="V457" s="208">
        <f t="shared" si="17"/>
        <v>46957</v>
      </c>
      <c r="W457" s="71">
        <v>23</v>
      </c>
      <c r="X457" s="82" t="s">
        <v>61</v>
      </c>
      <c r="Y457" s="74" t="s">
        <v>336</v>
      </c>
      <c r="Z457" s="74">
        <f t="shared" si="16"/>
        <v>46980</v>
      </c>
    </row>
    <row r="458" spans="19:26">
      <c r="S458" s="87">
        <v>27</v>
      </c>
      <c r="T458" s="88">
        <v>2028</v>
      </c>
      <c r="U458" s="89">
        <v>7</v>
      </c>
      <c r="V458" s="208">
        <f t="shared" si="17"/>
        <v>46961</v>
      </c>
      <c r="W458" s="71">
        <v>27</v>
      </c>
      <c r="X458" s="82" t="s">
        <v>62</v>
      </c>
      <c r="Y458" s="74" t="s">
        <v>337</v>
      </c>
      <c r="Z458" s="74">
        <f t="shared" si="16"/>
        <v>46988</v>
      </c>
    </row>
    <row r="459" spans="19:26">
      <c r="S459" s="87">
        <v>7</v>
      </c>
      <c r="T459" s="88">
        <v>2028</v>
      </c>
      <c r="U459" s="89">
        <v>8</v>
      </c>
      <c r="V459" s="208">
        <f t="shared" si="17"/>
        <v>46972</v>
      </c>
      <c r="W459" s="71">
        <v>7</v>
      </c>
      <c r="X459" s="82" t="s">
        <v>76</v>
      </c>
      <c r="Y459" s="74" t="s">
        <v>338</v>
      </c>
      <c r="Z459" s="74">
        <f t="shared" si="16"/>
        <v>46997</v>
      </c>
    </row>
    <row r="460" spans="19:26">
      <c r="S460" s="87">
        <v>16</v>
      </c>
      <c r="T460" s="88">
        <v>2028</v>
      </c>
      <c r="U460" s="89">
        <v>8</v>
      </c>
      <c r="V460" s="208">
        <f t="shared" si="17"/>
        <v>46981</v>
      </c>
      <c r="W460" s="71">
        <v>16</v>
      </c>
      <c r="X460" s="82" t="s">
        <v>66</v>
      </c>
      <c r="Y460" s="74" t="s">
        <v>339</v>
      </c>
      <c r="Z460" s="74">
        <f t="shared" si="16"/>
        <v>47004</v>
      </c>
    </row>
    <row r="461" spans="19:26">
      <c r="S461" s="87">
        <v>23</v>
      </c>
      <c r="T461" s="88">
        <v>2028</v>
      </c>
      <c r="U461" s="89">
        <v>8</v>
      </c>
      <c r="V461" s="208">
        <f t="shared" si="17"/>
        <v>46988</v>
      </c>
      <c r="W461" s="71">
        <v>23</v>
      </c>
      <c r="X461" s="82" t="s">
        <v>66</v>
      </c>
      <c r="Y461" s="74" t="s">
        <v>340</v>
      </c>
      <c r="Z461" s="74">
        <f t="shared" si="16"/>
        <v>47011</v>
      </c>
    </row>
    <row r="462" spans="19:26">
      <c r="S462" s="87">
        <v>27</v>
      </c>
      <c r="T462" s="88">
        <v>2028</v>
      </c>
      <c r="U462" s="89">
        <v>8</v>
      </c>
      <c r="V462" s="208">
        <f t="shared" si="17"/>
        <v>46992</v>
      </c>
      <c r="W462" s="71">
        <v>27</v>
      </c>
      <c r="X462" s="82" t="s">
        <v>61</v>
      </c>
      <c r="Y462" s="74" t="s">
        <v>341</v>
      </c>
      <c r="Z462" s="74">
        <f t="shared" si="16"/>
        <v>47019</v>
      </c>
    </row>
    <row r="463" spans="19:26">
      <c r="S463" s="87">
        <v>7</v>
      </c>
      <c r="T463" s="88">
        <v>2028</v>
      </c>
      <c r="U463" s="89">
        <v>9</v>
      </c>
      <c r="V463" s="208">
        <f t="shared" si="17"/>
        <v>47003</v>
      </c>
      <c r="W463" s="71">
        <v>7</v>
      </c>
      <c r="X463" s="82" t="s">
        <v>62</v>
      </c>
      <c r="Y463" s="74" t="s">
        <v>342</v>
      </c>
      <c r="Z463" s="74">
        <f t="shared" si="16"/>
        <v>47027</v>
      </c>
    </row>
    <row r="464" spans="19:26">
      <c r="S464" s="87">
        <v>16</v>
      </c>
      <c r="T464" s="88">
        <v>2028</v>
      </c>
      <c r="U464" s="89">
        <v>9</v>
      </c>
      <c r="V464" s="208">
        <f t="shared" si="17"/>
        <v>47012</v>
      </c>
      <c r="W464" s="71">
        <v>16</v>
      </c>
      <c r="X464" s="82" t="s">
        <v>121</v>
      </c>
      <c r="Y464" s="74" t="s">
        <v>343</v>
      </c>
      <c r="Z464" s="74">
        <f t="shared" si="16"/>
        <v>47034</v>
      </c>
    </row>
    <row r="465" spans="19:26">
      <c r="S465" s="87">
        <v>23</v>
      </c>
      <c r="T465" s="88">
        <v>2028</v>
      </c>
      <c r="U465" s="89">
        <v>9</v>
      </c>
      <c r="V465" s="208">
        <f t="shared" si="17"/>
        <v>47019</v>
      </c>
      <c r="W465" s="71">
        <v>23</v>
      </c>
      <c r="X465" s="82" t="s">
        <v>121</v>
      </c>
      <c r="Y465" s="74" t="s">
        <v>344</v>
      </c>
      <c r="Z465" s="74">
        <f t="shared" si="16"/>
        <v>47041</v>
      </c>
    </row>
    <row r="466" spans="19:26">
      <c r="S466" s="87">
        <v>27</v>
      </c>
      <c r="T466" s="88">
        <v>2028</v>
      </c>
      <c r="U466" s="89">
        <v>9</v>
      </c>
      <c r="V466" s="208">
        <f t="shared" si="17"/>
        <v>47023</v>
      </c>
      <c r="W466" s="71">
        <v>27</v>
      </c>
      <c r="X466" s="82" t="s">
        <v>66</v>
      </c>
      <c r="Y466" s="74" t="s">
        <v>345</v>
      </c>
      <c r="Z466" s="74">
        <f t="shared" si="16"/>
        <v>47049</v>
      </c>
    </row>
    <row r="467" spans="19:26">
      <c r="S467" s="87">
        <v>7</v>
      </c>
      <c r="T467" s="88">
        <v>2028</v>
      </c>
      <c r="U467" s="89">
        <v>10</v>
      </c>
      <c r="V467" s="208">
        <f t="shared" si="17"/>
        <v>47033</v>
      </c>
      <c r="W467" s="71">
        <v>7</v>
      </c>
      <c r="X467" s="82" t="s">
        <v>121</v>
      </c>
      <c r="Y467" s="74" t="s">
        <v>346</v>
      </c>
      <c r="Z467" s="74">
        <f t="shared" si="16"/>
        <v>47058</v>
      </c>
    </row>
    <row r="468" spans="19:26">
      <c r="S468" s="87">
        <v>16</v>
      </c>
      <c r="T468" s="88">
        <v>2028</v>
      </c>
      <c r="U468" s="89">
        <v>10</v>
      </c>
      <c r="V468" s="208">
        <f t="shared" si="17"/>
        <v>47042</v>
      </c>
      <c r="W468" s="71">
        <v>16</v>
      </c>
      <c r="X468" s="82" t="s">
        <v>76</v>
      </c>
      <c r="Y468" s="74" t="s">
        <v>347</v>
      </c>
      <c r="Z468" s="74">
        <f t="shared" si="16"/>
        <v>47065</v>
      </c>
    </row>
    <row r="469" spans="19:26">
      <c r="S469" s="87">
        <v>23</v>
      </c>
      <c r="T469" s="88">
        <v>2028</v>
      </c>
      <c r="U469" s="89">
        <v>10</v>
      </c>
      <c r="V469" s="208">
        <f t="shared" si="17"/>
        <v>47049</v>
      </c>
      <c r="W469" s="71">
        <v>23</v>
      </c>
      <c r="X469" s="82" t="s">
        <v>76</v>
      </c>
      <c r="Y469" s="74" t="s">
        <v>348</v>
      </c>
      <c r="Z469" s="74">
        <f t="shared" si="16"/>
        <v>47072</v>
      </c>
    </row>
    <row r="470" spans="19:26">
      <c r="S470" s="87">
        <v>27</v>
      </c>
      <c r="T470" s="88">
        <v>2028</v>
      </c>
      <c r="U470" s="89">
        <v>10</v>
      </c>
      <c r="V470" s="208">
        <f t="shared" si="17"/>
        <v>47053</v>
      </c>
      <c r="W470" s="71">
        <v>27</v>
      </c>
      <c r="X470" s="82" t="s">
        <v>64</v>
      </c>
      <c r="Y470" s="74" t="s">
        <v>349</v>
      </c>
      <c r="Z470" s="74">
        <f t="shared" si="16"/>
        <v>47080</v>
      </c>
    </row>
    <row r="471" spans="19:26">
      <c r="S471" s="87">
        <v>7</v>
      </c>
      <c r="T471" s="88">
        <v>2028</v>
      </c>
      <c r="U471" s="89">
        <v>11</v>
      </c>
      <c r="V471" s="208">
        <f t="shared" si="17"/>
        <v>47064</v>
      </c>
      <c r="W471" s="71">
        <v>7</v>
      </c>
      <c r="X471" s="82" t="s">
        <v>69</v>
      </c>
      <c r="Y471" s="74" t="s">
        <v>350</v>
      </c>
      <c r="Z471" s="74">
        <f t="shared" si="16"/>
        <v>47088</v>
      </c>
    </row>
    <row r="472" spans="19:26">
      <c r="S472" s="87">
        <v>16</v>
      </c>
      <c r="T472" s="88">
        <v>2028</v>
      </c>
      <c r="U472" s="89">
        <v>11</v>
      </c>
      <c r="V472" s="208">
        <f t="shared" si="17"/>
        <v>47073</v>
      </c>
      <c r="W472" s="71">
        <v>16</v>
      </c>
      <c r="X472" s="82" t="s">
        <v>62</v>
      </c>
      <c r="Y472" s="74" t="s">
        <v>351</v>
      </c>
      <c r="Z472" s="74">
        <f t="shared" si="16"/>
        <v>47095</v>
      </c>
    </row>
    <row r="473" spans="19:26">
      <c r="S473" s="87">
        <v>23</v>
      </c>
      <c r="T473" s="88">
        <v>2028</v>
      </c>
      <c r="U473" s="89">
        <v>11</v>
      </c>
      <c r="V473" s="208">
        <f t="shared" si="17"/>
        <v>47080</v>
      </c>
      <c r="W473" s="71">
        <v>23</v>
      </c>
      <c r="X473" s="82" t="s">
        <v>62</v>
      </c>
      <c r="Y473" s="74" t="s">
        <v>352</v>
      </c>
      <c r="Z473" s="74">
        <f t="shared" si="16"/>
        <v>47102</v>
      </c>
    </row>
    <row r="474" spans="19:26">
      <c r="S474" s="87">
        <v>27</v>
      </c>
      <c r="T474" s="88">
        <v>2028</v>
      </c>
      <c r="U474" s="89">
        <v>11</v>
      </c>
      <c r="V474" s="208">
        <f t="shared" si="17"/>
        <v>47084</v>
      </c>
      <c r="W474" s="71">
        <v>27</v>
      </c>
      <c r="X474" s="82" t="s">
        <v>76</v>
      </c>
      <c r="Y474" s="74" t="s">
        <v>353</v>
      </c>
      <c r="Z474" s="74">
        <f t="shared" si="16"/>
        <v>47110</v>
      </c>
    </row>
    <row r="475" spans="19:26">
      <c r="S475" s="87">
        <v>7</v>
      </c>
      <c r="T475" s="88">
        <v>2028</v>
      </c>
      <c r="U475" s="89">
        <v>12</v>
      </c>
      <c r="V475" s="208">
        <f t="shared" si="17"/>
        <v>47094</v>
      </c>
      <c r="W475" s="71">
        <v>7</v>
      </c>
      <c r="X475" s="82" t="s">
        <v>62</v>
      </c>
      <c r="Y475" s="74" t="s">
        <v>354</v>
      </c>
      <c r="Z475" s="74">
        <f t="shared" ref="Z475:Z538" si="18">DATE(YEAR(Y475)+1/12,MONTH(Y475),DAY(Y475))</f>
        <v>47119</v>
      </c>
    </row>
    <row r="476" spans="19:26">
      <c r="S476" s="87">
        <v>16</v>
      </c>
      <c r="T476" s="88">
        <v>2028</v>
      </c>
      <c r="U476" s="89">
        <v>12</v>
      </c>
      <c r="V476" s="208">
        <f t="shared" si="17"/>
        <v>47103</v>
      </c>
      <c r="W476" s="71">
        <v>16</v>
      </c>
      <c r="X476" s="82" t="s">
        <v>121</v>
      </c>
      <c r="Y476" s="74" t="s">
        <v>355</v>
      </c>
      <c r="Z476" s="74">
        <f t="shared" si="18"/>
        <v>47126</v>
      </c>
    </row>
    <row r="477" spans="19:26">
      <c r="S477" s="90">
        <v>23</v>
      </c>
      <c r="T477" s="88">
        <v>2028</v>
      </c>
      <c r="U477" s="91">
        <v>12</v>
      </c>
      <c r="V477" s="208">
        <f t="shared" si="17"/>
        <v>47110</v>
      </c>
      <c r="W477" s="71">
        <v>23</v>
      </c>
      <c r="X477" s="82" t="s">
        <v>121</v>
      </c>
      <c r="Y477" s="74" t="s">
        <v>356</v>
      </c>
      <c r="Z477" s="74">
        <f t="shared" si="18"/>
        <v>47133</v>
      </c>
    </row>
    <row r="478" spans="19:26">
      <c r="S478" s="87">
        <v>27</v>
      </c>
      <c r="T478" s="88">
        <v>2028</v>
      </c>
      <c r="U478" s="89">
        <v>12</v>
      </c>
      <c r="V478" s="208">
        <f t="shared" si="17"/>
        <v>47114</v>
      </c>
      <c r="W478" s="71">
        <v>27</v>
      </c>
      <c r="X478" s="82" t="s">
        <v>66</v>
      </c>
      <c r="Y478" s="74" t="s">
        <v>357</v>
      </c>
      <c r="Z478" s="74">
        <f t="shared" si="18"/>
        <v>47141</v>
      </c>
    </row>
    <row r="479" spans="19:26">
      <c r="S479" s="87">
        <v>7</v>
      </c>
      <c r="T479" s="88">
        <v>2029</v>
      </c>
      <c r="U479" s="89">
        <v>1</v>
      </c>
      <c r="V479" s="208">
        <f t="shared" si="17"/>
        <v>47125</v>
      </c>
      <c r="W479" s="71">
        <v>7</v>
      </c>
      <c r="X479" s="82" t="s">
        <v>61</v>
      </c>
      <c r="Y479" s="74" t="s">
        <v>358</v>
      </c>
      <c r="Z479" s="74">
        <f t="shared" si="18"/>
        <v>47150</v>
      </c>
    </row>
    <row r="480" spans="19:26">
      <c r="S480" s="87">
        <v>16</v>
      </c>
      <c r="T480" s="88">
        <v>2029</v>
      </c>
      <c r="U480" s="89">
        <v>1</v>
      </c>
      <c r="V480" s="208">
        <f t="shared" si="17"/>
        <v>47134</v>
      </c>
      <c r="W480" s="71">
        <v>16</v>
      </c>
      <c r="X480" s="82" t="s">
        <v>69</v>
      </c>
      <c r="Y480" s="74" t="s">
        <v>359</v>
      </c>
      <c r="Z480" s="74">
        <f t="shared" si="18"/>
        <v>47157</v>
      </c>
    </row>
    <row r="481" spans="19:26">
      <c r="S481" s="87">
        <v>23</v>
      </c>
      <c r="T481" s="88">
        <v>2029</v>
      </c>
      <c r="U481" s="89">
        <v>1</v>
      </c>
      <c r="V481" s="208">
        <f t="shared" si="17"/>
        <v>47141</v>
      </c>
      <c r="W481" s="71">
        <v>23</v>
      </c>
      <c r="X481" s="82" t="s">
        <v>69</v>
      </c>
      <c r="Y481" s="74" t="s">
        <v>360</v>
      </c>
      <c r="Z481" s="74">
        <f t="shared" si="18"/>
        <v>47164</v>
      </c>
    </row>
    <row r="482" spans="19:26">
      <c r="S482" s="87">
        <v>27</v>
      </c>
      <c r="T482" s="88">
        <v>2029</v>
      </c>
      <c r="U482" s="89">
        <v>1</v>
      </c>
      <c r="V482" s="208">
        <f t="shared" si="17"/>
        <v>47145</v>
      </c>
      <c r="W482" s="71">
        <v>27</v>
      </c>
      <c r="X482" s="82" t="s">
        <v>121</v>
      </c>
      <c r="Y482" s="74" t="s">
        <v>361</v>
      </c>
      <c r="Z482" s="74">
        <f t="shared" si="18"/>
        <v>47172</v>
      </c>
    </row>
    <row r="483" spans="19:26">
      <c r="S483" s="87">
        <v>7</v>
      </c>
      <c r="T483" s="88">
        <v>2029</v>
      </c>
      <c r="U483" s="89">
        <v>2</v>
      </c>
      <c r="V483" s="208">
        <f t="shared" si="17"/>
        <v>47156</v>
      </c>
      <c r="W483" s="71">
        <v>7</v>
      </c>
      <c r="X483" s="82" t="s">
        <v>66</v>
      </c>
      <c r="Y483" s="74" t="s">
        <v>362</v>
      </c>
      <c r="Z483" s="74">
        <f t="shared" si="18"/>
        <v>47178</v>
      </c>
    </row>
    <row r="484" spans="19:26">
      <c r="S484" s="87">
        <v>16</v>
      </c>
      <c r="T484" s="88">
        <v>2029</v>
      </c>
      <c r="U484" s="89">
        <v>2</v>
      </c>
      <c r="V484" s="208">
        <f t="shared" si="17"/>
        <v>47165</v>
      </c>
      <c r="W484" s="71">
        <v>16</v>
      </c>
      <c r="X484" s="82" t="s">
        <v>64</v>
      </c>
      <c r="Y484" s="74" t="s">
        <v>363</v>
      </c>
      <c r="Z484" s="74">
        <f t="shared" si="18"/>
        <v>47185</v>
      </c>
    </row>
    <row r="485" spans="19:26">
      <c r="S485" s="87">
        <v>23</v>
      </c>
      <c r="T485" s="88">
        <v>2029</v>
      </c>
      <c r="U485" s="89">
        <v>2</v>
      </c>
      <c r="V485" s="208">
        <f t="shared" si="17"/>
        <v>47172</v>
      </c>
      <c r="W485" s="71">
        <v>23</v>
      </c>
      <c r="X485" s="82" t="s">
        <v>64</v>
      </c>
      <c r="Y485" s="74" t="s">
        <v>364</v>
      </c>
      <c r="Z485" s="74">
        <f t="shared" si="18"/>
        <v>47192</v>
      </c>
    </row>
    <row r="486" spans="19:26">
      <c r="S486" s="87">
        <v>27</v>
      </c>
      <c r="T486" s="88">
        <v>2029</v>
      </c>
      <c r="U486" s="89">
        <v>2</v>
      </c>
      <c r="V486" s="208">
        <f t="shared" si="17"/>
        <v>47176</v>
      </c>
      <c r="W486" s="71">
        <v>27</v>
      </c>
      <c r="X486" s="82" t="s">
        <v>69</v>
      </c>
      <c r="Y486" s="74" t="s">
        <v>365</v>
      </c>
      <c r="Z486" s="74">
        <f t="shared" si="18"/>
        <v>47200</v>
      </c>
    </row>
    <row r="487" spans="19:26">
      <c r="S487" s="87">
        <v>7</v>
      </c>
      <c r="T487" s="88">
        <v>2029</v>
      </c>
      <c r="U487" s="89">
        <v>3</v>
      </c>
      <c r="V487" s="208">
        <f t="shared" si="17"/>
        <v>47184</v>
      </c>
      <c r="W487" s="71">
        <v>7</v>
      </c>
      <c r="X487" s="82" t="s">
        <v>66</v>
      </c>
      <c r="Y487" s="74" t="s">
        <v>366</v>
      </c>
      <c r="Z487" s="74">
        <f t="shared" si="18"/>
        <v>47209</v>
      </c>
    </row>
    <row r="488" spans="19:26">
      <c r="S488" s="87">
        <v>16</v>
      </c>
      <c r="T488" s="88">
        <v>2029</v>
      </c>
      <c r="U488" s="89">
        <v>3</v>
      </c>
      <c r="V488" s="208">
        <f t="shared" si="17"/>
        <v>47193</v>
      </c>
      <c r="W488" s="71">
        <v>16</v>
      </c>
      <c r="X488" s="82" t="s">
        <v>64</v>
      </c>
      <c r="Y488" s="74" t="s">
        <v>367</v>
      </c>
      <c r="Z488" s="74">
        <f t="shared" si="18"/>
        <v>47216</v>
      </c>
    </row>
    <row r="489" spans="19:26">
      <c r="S489" s="87">
        <v>23</v>
      </c>
      <c r="T489" s="88">
        <v>2029</v>
      </c>
      <c r="U489" s="89">
        <v>3</v>
      </c>
      <c r="V489" s="208">
        <f t="shared" si="17"/>
        <v>47200</v>
      </c>
      <c r="W489" s="71">
        <v>23</v>
      </c>
      <c r="X489" s="82" t="s">
        <v>64</v>
      </c>
      <c r="Y489" s="74" t="s">
        <v>368</v>
      </c>
      <c r="Z489" s="74">
        <f t="shared" si="18"/>
        <v>47223</v>
      </c>
    </row>
    <row r="490" spans="19:26">
      <c r="S490" s="87">
        <v>27</v>
      </c>
      <c r="T490" s="88">
        <v>2029</v>
      </c>
      <c r="U490" s="89">
        <v>3</v>
      </c>
      <c r="V490" s="208">
        <f t="shared" si="17"/>
        <v>47204</v>
      </c>
      <c r="W490" s="71">
        <v>27</v>
      </c>
      <c r="X490" s="82" t="s">
        <v>69</v>
      </c>
      <c r="Y490" s="74" t="s">
        <v>369</v>
      </c>
      <c r="Z490" s="74">
        <f t="shared" si="18"/>
        <v>47231</v>
      </c>
    </row>
    <row r="491" spans="19:26">
      <c r="S491" s="87">
        <v>7</v>
      </c>
      <c r="T491" s="88">
        <v>2029</v>
      </c>
      <c r="U491" s="89">
        <v>4</v>
      </c>
      <c r="V491" s="208">
        <f t="shared" si="17"/>
        <v>47215</v>
      </c>
      <c r="W491" s="71">
        <v>7</v>
      </c>
      <c r="X491" s="82" t="s">
        <v>121</v>
      </c>
      <c r="Y491" s="74" t="s">
        <v>370</v>
      </c>
      <c r="Z491" s="74">
        <f t="shared" si="18"/>
        <v>47239</v>
      </c>
    </row>
    <row r="492" spans="19:26">
      <c r="S492" s="87">
        <v>16</v>
      </c>
      <c r="T492" s="88">
        <v>2029</v>
      </c>
      <c r="U492" s="89">
        <v>4</v>
      </c>
      <c r="V492" s="208">
        <f t="shared" si="17"/>
        <v>47224</v>
      </c>
      <c r="W492" s="71">
        <v>16</v>
      </c>
      <c r="X492" s="82" t="s">
        <v>76</v>
      </c>
      <c r="Y492" s="74" t="s">
        <v>371</v>
      </c>
      <c r="Z492" s="74">
        <f t="shared" si="18"/>
        <v>47246</v>
      </c>
    </row>
    <row r="493" spans="19:26">
      <c r="S493" s="87">
        <v>23</v>
      </c>
      <c r="T493" s="88">
        <v>2029</v>
      </c>
      <c r="U493" s="89">
        <v>4</v>
      </c>
      <c r="V493" s="208">
        <f t="shared" si="17"/>
        <v>47231</v>
      </c>
      <c r="W493" s="71">
        <v>23</v>
      </c>
      <c r="X493" s="82" t="s">
        <v>76</v>
      </c>
      <c r="Y493" s="74" t="s">
        <v>372</v>
      </c>
      <c r="Z493" s="74">
        <f t="shared" si="18"/>
        <v>47253</v>
      </c>
    </row>
    <row r="494" spans="19:26">
      <c r="S494" s="87">
        <v>27</v>
      </c>
      <c r="T494" s="88">
        <v>2029</v>
      </c>
      <c r="U494" s="89">
        <v>4</v>
      </c>
      <c r="V494" s="208">
        <f t="shared" si="17"/>
        <v>47235</v>
      </c>
      <c r="W494" s="71">
        <v>27</v>
      </c>
      <c r="X494" s="82" t="s">
        <v>64</v>
      </c>
      <c r="Y494" s="74" t="s">
        <v>373</v>
      </c>
      <c r="Z494" s="74">
        <f t="shared" si="18"/>
        <v>47261</v>
      </c>
    </row>
    <row r="495" spans="19:26">
      <c r="S495" s="87">
        <v>7</v>
      </c>
      <c r="T495" s="88">
        <v>2029</v>
      </c>
      <c r="U495" s="89">
        <v>5</v>
      </c>
      <c r="V495" s="208">
        <f t="shared" si="17"/>
        <v>47245</v>
      </c>
      <c r="W495" s="71">
        <v>7</v>
      </c>
      <c r="X495" s="82" t="s">
        <v>76</v>
      </c>
      <c r="Y495" s="74" t="s">
        <v>374</v>
      </c>
      <c r="Z495" s="74">
        <f t="shared" si="18"/>
        <v>47270</v>
      </c>
    </row>
    <row r="496" spans="19:26">
      <c r="S496" s="87">
        <v>16</v>
      </c>
      <c r="T496" s="88">
        <v>2029</v>
      </c>
      <c r="U496" s="89">
        <v>5</v>
      </c>
      <c r="V496" s="208">
        <f t="shared" si="17"/>
        <v>47254</v>
      </c>
      <c r="W496" s="71">
        <v>16</v>
      </c>
      <c r="X496" s="82" t="s">
        <v>66</v>
      </c>
      <c r="Y496" s="74" t="s">
        <v>375</v>
      </c>
      <c r="Z496" s="74">
        <f t="shared" si="18"/>
        <v>47277</v>
      </c>
    </row>
    <row r="497" spans="19:26">
      <c r="S497" s="87">
        <v>23</v>
      </c>
      <c r="T497" s="88">
        <v>2029</v>
      </c>
      <c r="U497" s="89">
        <v>5</v>
      </c>
      <c r="V497" s="208">
        <f t="shared" si="17"/>
        <v>47261</v>
      </c>
      <c r="W497" s="71">
        <v>23</v>
      </c>
      <c r="X497" s="82" t="s">
        <v>66</v>
      </c>
      <c r="Y497" s="74" t="s">
        <v>376</v>
      </c>
      <c r="Z497" s="74">
        <f t="shared" si="18"/>
        <v>47284</v>
      </c>
    </row>
    <row r="498" spans="19:26">
      <c r="S498" s="87">
        <v>27</v>
      </c>
      <c r="T498" s="88">
        <v>2029</v>
      </c>
      <c r="U498" s="89">
        <v>5</v>
      </c>
      <c r="V498" s="208">
        <f t="shared" si="17"/>
        <v>47265</v>
      </c>
      <c r="W498" s="71">
        <v>27</v>
      </c>
      <c r="X498" s="82" t="s">
        <v>61</v>
      </c>
      <c r="Y498" s="74" t="s">
        <v>377</v>
      </c>
      <c r="Z498" s="74">
        <f t="shared" si="18"/>
        <v>47292</v>
      </c>
    </row>
    <row r="499" spans="19:26">
      <c r="S499" s="87">
        <v>7</v>
      </c>
      <c r="T499" s="88">
        <v>2029</v>
      </c>
      <c r="U499" s="89">
        <v>6</v>
      </c>
      <c r="V499" s="208">
        <f t="shared" si="17"/>
        <v>47276</v>
      </c>
      <c r="W499" s="71">
        <v>7</v>
      </c>
      <c r="X499" s="82" t="s">
        <v>62</v>
      </c>
      <c r="Y499" s="74" t="s">
        <v>378</v>
      </c>
      <c r="Z499" s="74">
        <f t="shared" si="18"/>
        <v>47300</v>
      </c>
    </row>
    <row r="500" spans="19:26">
      <c r="S500" s="87">
        <v>16</v>
      </c>
      <c r="T500" s="88">
        <v>2029</v>
      </c>
      <c r="U500" s="89">
        <v>6</v>
      </c>
      <c r="V500" s="208">
        <f t="shared" si="17"/>
        <v>47285</v>
      </c>
      <c r="W500" s="71">
        <v>16</v>
      </c>
      <c r="X500" s="82" t="s">
        <v>121</v>
      </c>
      <c r="Y500" s="74" t="s">
        <v>379</v>
      </c>
      <c r="Z500" s="74">
        <f t="shared" si="18"/>
        <v>47307</v>
      </c>
    </row>
    <row r="501" spans="19:26">
      <c r="S501" s="87">
        <v>23</v>
      </c>
      <c r="T501" s="88">
        <v>2029</v>
      </c>
      <c r="U501" s="89">
        <v>6</v>
      </c>
      <c r="V501" s="208">
        <f t="shared" si="17"/>
        <v>47292</v>
      </c>
      <c r="W501" s="71">
        <v>23</v>
      </c>
      <c r="X501" s="82" t="s">
        <v>121</v>
      </c>
      <c r="Y501" s="74" t="s">
        <v>380</v>
      </c>
      <c r="Z501" s="74">
        <f t="shared" si="18"/>
        <v>47314</v>
      </c>
    </row>
    <row r="502" spans="19:26">
      <c r="S502" s="87">
        <v>27</v>
      </c>
      <c r="T502" s="88">
        <v>2029</v>
      </c>
      <c r="U502" s="89">
        <v>6</v>
      </c>
      <c r="V502" s="208">
        <f t="shared" si="17"/>
        <v>47296</v>
      </c>
      <c r="W502" s="71">
        <v>27</v>
      </c>
      <c r="X502" s="82" t="s">
        <v>66</v>
      </c>
      <c r="Y502" s="74" t="s">
        <v>381</v>
      </c>
      <c r="Z502" s="74">
        <f t="shared" si="18"/>
        <v>47322</v>
      </c>
    </row>
    <row r="503" spans="19:26">
      <c r="S503" s="87">
        <v>7</v>
      </c>
      <c r="T503" s="88">
        <v>2029</v>
      </c>
      <c r="U503" s="89">
        <v>7</v>
      </c>
      <c r="V503" s="208">
        <f t="shared" si="17"/>
        <v>47306</v>
      </c>
      <c r="W503" s="71">
        <v>7</v>
      </c>
      <c r="X503" s="82" t="s">
        <v>121</v>
      </c>
      <c r="Y503" s="74" t="s">
        <v>382</v>
      </c>
      <c r="Z503" s="74">
        <f t="shared" si="18"/>
        <v>47331</v>
      </c>
    </row>
    <row r="504" spans="19:26">
      <c r="S504" s="87">
        <v>16</v>
      </c>
      <c r="T504" s="88">
        <v>2029</v>
      </c>
      <c r="U504" s="89">
        <v>7</v>
      </c>
      <c r="V504" s="208">
        <f t="shared" si="17"/>
        <v>47315</v>
      </c>
      <c r="W504" s="71">
        <v>16</v>
      </c>
      <c r="X504" s="82" t="s">
        <v>76</v>
      </c>
      <c r="Y504" s="74" t="s">
        <v>383</v>
      </c>
      <c r="Z504" s="74">
        <f t="shared" si="18"/>
        <v>47338</v>
      </c>
    </row>
    <row r="505" spans="19:26">
      <c r="S505" s="87">
        <v>23</v>
      </c>
      <c r="T505" s="88">
        <v>2029</v>
      </c>
      <c r="U505" s="89">
        <v>7</v>
      </c>
      <c r="V505" s="208">
        <f t="shared" si="17"/>
        <v>47322</v>
      </c>
      <c r="W505" s="71">
        <v>23</v>
      </c>
      <c r="X505" s="82" t="s">
        <v>76</v>
      </c>
      <c r="Y505" s="74" t="s">
        <v>384</v>
      </c>
      <c r="Z505" s="74">
        <f t="shared" si="18"/>
        <v>47345</v>
      </c>
    </row>
    <row r="506" spans="19:26">
      <c r="S506" s="87">
        <v>27</v>
      </c>
      <c r="T506" s="88">
        <v>2029</v>
      </c>
      <c r="U506" s="89">
        <v>7</v>
      </c>
      <c r="V506" s="208">
        <f t="shared" si="17"/>
        <v>47326</v>
      </c>
      <c r="W506" s="71">
        <v>27</v>
      </c>
      <c r="X506" s="82" t="s">
        <v>64</v>
      </c>
      <c r="Y506" s="74" t="s">
        <v>385</v>
      </c>
      <c r="Z506" s="74">
        <f t="shared" si="18"/>
        <v>47353</v>
      </c>
    </row>
    <row r="507" spans="19:26">
      <c r="S507" s="87">
        <v>7</v>
      </c>
      <c r="T507" s="88">
        <v>2029</v>
      </c>
      <c r="U507" s="89">
        <v>8</v>
      </c>
      <c r="V507" s="208">
        <f t="shared" si="17"/>
        <v>47337</v>
      </c>
      <c r="W507" s="71">
        <v>7</v>
      </c>
      <c r="X507" s="82" t="s">
        <v>69</v>
      </c>
      <c r="Y507" s="74" t="s">
        <v>386</v>
      </c>
      <c r="Z507" s="74">
        <f t="shared" si="18"/>
        <v>47362</v>
      </c>
    </row>
    <row r="508" spans="19:26">
      <c r="S508" s="87">
        <v>16</v>
      </c>
      <c r="T508" s="88">
        <v>2029</v>
      </c>
      <c r="U508" s="89">
        <v>8</v>
      </c>
      <c r="V508" s="208">
        <f t="shared" si="17"/>
        <v>47346</v>
      </c>
      <c r="W508" s="71">
        <v>16</v>
      </c>
      <c r="X508" s="82" t="s">
        <v>62</v>
      </c>
      <c r="Y508" s="74" t="s">
        <v>387</v>
      </c>
      <c r="Z508" s="74">
        <f t="shared" si="18"/>
        <v>47369</v>
      </c>
    </row>
    <row r="509" spans="19:26">
      <c r="S509" s="87">
        <v>23</v>
      </c>
      <c r="T509" s="88">
        <v>2029</v>
      </c>
      <c r="U509" s="89">
        <v>8</v>
      </c>
      <c r="V509" s="208">
        <f t="shared" si="17"/>
        <v>47353</v>
      </c>
      <c r="W509" s="71">
        <v>23</v>
      </c>
      <c r="X509" s="82" t="s">
        <v>62</v>
      </c>
      <c r="Y509" s="74" t="s">
        <v>388</v>
      </c>
      <c r="Z509" s="74">
        <f t="shared" si="18"/>
        <v>47376</v>
      </c>
    </row>
    <row r="510" spans="19:26">
      <c r="S510" s="87">
        <v>27</v>
      </c>
      <c r="T510" s="88">
        <v>2029</v>
      </c>
      <c r="U510" s="89">
        <v>8</v>
      </c>
      <c r="V510" s="208">
        <f t="shared" si="17"/>
        <v>47357</v>
      </c>
      <c r="W510" s="71">
        <v>27</v>
      </c>
      <c r="X510" s="82" t="s">
        <v>76</v>
      </c>
      <c r="Y510" s="74" t="s">
        <v>389</v>
      </c>
      <c r="Z510" s="74">
        <f t="shared" si="18"/>
        <v>47384</v>
      </c>
    </row>
    <row r="511" spans="19:26">
      <c r="S511" s="87">
        <v>7</v>
      </c>
      <c r="T511" s="88">
        <v>2029</v>
      </c>
      <c r="U511" s="89">
        <v>9</v>
      </c>
      <c r="V511" s="208">
        <f t="shared" si="17"/>
        <v>47368</v>
      </c>
      <c r="W511" s="71">
        <v>7</v>
      </c>
      <c r="X511" s="82" t="s">
        <v>64</v>
      </c>
      <c r="Y511" s="74" t="s">
        <v>390</v>
      </c>
      <c r="Z511" s="74">
        <f t="shared" si="18"/>
        <v>47392</v>
      </c>
    </row>
    <row r="512" spans="19:26">
      <c r="S512" s="87">
        <v>16</v>
      </c>
      <c r="T512" s="88">
        <v>2029</v>
      </c>
      <c r="U512" s="89">
        <v>9</v>
      </c>
      <c r="V512" s="208">
        <f t="shared" si="17"/>
        <v>47377</v>
      </c>
      <c r="W512" s="71">
        <v>16</v>
      </c>
      <c r="X512" s="82" t="s">
        <v>61</v>
      </c>
      <c r="Y512" s="74" t="s">
        <v>391</v>
      </c>
      <c r="Z512" s="74">
        <f t="shared" si="18"/>
        <v>47399</v>
      </c>
    </row>
    <row r="513" spans="19:26">
      <c r="S513" s="87">
        <v>23</v>
      </c>
      <c r="T513" s="88">
        <v>2029</v>
      </c>
      <c r="U513" s="89">
        <v>9</v>
      </c>
      <c r="V513" s="208">
        <f t="shared" si="17"/>
        <v>47384</v>
      </c>
      <c r="W513" s="71">
        <v>23</v>
      </c>
      <c r="X513" s="82" t="s">
        <v>61</v>
      </c>
      <c r="Y513" s="74" t="s">
        <v>392</v>
      </c>
      <c r="Z513" s="74">
        <f t="shared" si="18"/>
        <v>47406</v>
      </c>
    </row>
    <row r="514" spans="19:26">
      <c r="S514" s="87">
        <v>27</v>
      </c>
      <c r="T514" s="88">
        <v>2029</v>
      </c>
      <c r="U514" s="89">
        <v>9</v>
      </c>
      <c r="V514" s="208">
        <f t="shared" si="17"/>
        <v>47388</v>
      </c>
      <c r="W514" s="71">
        <v>27</v>
      </c>
      <c r="X514" s="82" t="s">
        <v>62</v>
      </c>
      <c r="Y514" s="74" t="s">
        <v>393</v>
      </c>
      <c r="Z514" s="74">
        <f t="shared" si="18"/>
        <v>47414</v>
      </c>
    </row>
    <row r="515" spans="19:26">
      <c r="S515" s="87">
        <v>7</v>
      </c>
      <c r="T515" s="88">
        <v>2029</v>
      </c>
      <c r="U515" s="89">
        <v>10</v>
      </c>
      <c r="V515" s="208">
        <f t="shared" ref="V515:V573" si="19">DATE(T515,U515,S515)</f>
        <v>47398</v>
      </c>
      <c r="W515" s="71">
        <v>7</v>
      </c>
      <c r="X515" s="82" t="s">
        <v>61</v>
      </c>
      <c r="Y515" s="74" t="s">
        <v>394</v>
      </c>
      <c r="Z515" s="74">
        <f t="shared" si="18"/>
        <v>47423</v>
      </c>
    </row>
    <row r="516" spans="19:26">
      <c r="S516" s="87">
        <v>16</v>
      </c>
      <c r="T516" s="88">
        <v>2029</v>
      </c>
      <c r="U516" s="89">
        <v>10</v>
      </c>
      <c r="V516" s="208">
        <f t="shared" si="19"/>
        <v>47407</v>
      </c>
      <c r="W516" s="71">
        <v>16</v>
      </c>
      <c r="X516" s="82" t="s">
        <v>69</v>
      </c>
      <c r="Y516" s="74" t="s">
        <v>395</v>
      </c>
      <c r="Z516" s="74">
        <f t="shared" si="18"/>
        <v>47430</v>
      </c>
    </row>
    <row r="517" spans="19:26">
      <c r="S517" s="87">
        <v>23</v>
      </c>
      <c r="T517" s="88">
        <v>2029</v>
      </c>
      <c r="U517" s="89">
        <v>10</v>
      </c>
      <c r="V517" s="208">
        <f t="shared" si="19"/>
        <v>47414</v>
      </c>
      <c r="W517" s="71">
        <v>23</v>
      </c>
      <c r="X517" s="82" t="s">
        <v>69</v>
      </c>
      <c r="Y517" s="74" t="s">
        <v>396</v>
      </c>
      <c r="Z517" s="74">
        <f t="shared" si="18"/>
        <v>47437</v>
      </c>
    </row>
    <row r="518" spans="19:26">
      <c r="S518" s="87">
        <v>27</v>
      </c>
      <c r="T518" s="88">
        <v>2029</v>
      </c>
      <c r="U518" s="89">
        <v>10</v>
      </c>
      <c r="V518" s="208">
        <f t="shared" si="19"/>
        <v>47418</v>
      </c>
      <c r="W518" s="71">
        <v>27</v>
      </c>
      <c r="X518" s="82" t="s">
        <v>121</v>
      </c>
      <c r="Y518" s="74" t="s">
        <v>397</v>
      </c>
      <c r="Z518" s="74">
        <f t="shared" si="18"/>
        <v>47445</v>
      </c>
    </row>
    <row r="519" spans="19:26">
      <c r="S519" s="87">
        <v>7</v>
      </c>
      <c r="T519" s="88">
        <v>2029</v>
      </c>
      <c r="U519" s="89">
        <v>11</v>
      </c>
      <c r="V519" s="208">
        <f t="shared" si="19"/>
        <v>47429</v>
      </c>
      <c r="W519" s="71">
        <v>7</v>
      </c>
      <c r="X519" s="82" t="s">
        <v>66</v>
      </c>
      <c r="Y519" s="74" t="s">
        <v>398</v>
      </c>
      <c r="Z519" s="74">
        <f t="shared" si="18"/>
        <v>47453</v>
      </c>
    </row>
    <row r="520" spans="19:26">
      <c r="S520" s="87">
        <v>16</v>
      </c>
      <c r="T520" s="88">
        <v>2029</v>
      </c>
      <c r="U520" s="89">
        <v>11</v>
      </c>
      <c r="V520" s="208">
        <f t="shared" si="19"/>
        <v>47438</v>
      </c>
      <c r="W520" s="71">
        <v>16</v>
      </c>
      <c r="X520" s="82" t="s">
        <v>64</v>
      </c>
      <c r="Y520" s="74" t="s">
        <v>399</v>
      </c>
      <c r="Z520" s="74">
        <f t="shared" si="18"/>
        <v>47460</v>
      </c>
    </row>
    <row r="521" spans="19:26">
      <c r="S521" s="87">
        <v>23</v>
      </c>
      <c r="T521" s="88">
        <v>2029</v>
      </c>
      <c r="U521" s="89">
        <v>11</v>
      </c>
      <c r="V521" s="208">
        <f t="shared" si="19"/>
        <v>47445</v>
      </c>
      <c r="W521" s="71">
        <v>23</v>
      </c>
      <c r="X521" s="82" t="s">
        <v>64</v>
      </c>
      <c r="Y521" s="74" t="s">
        <v>400</v>
      </c>
      <c r="Z521" s="74">
        <f t="shared" si="18"/>
        <v>47467</v>
      </c>
    </row>
    <row r="522" spans="19:26">
      <c r="S522" s="87">
        <v>27</v>
      </c>
      <c r="T522" s="88">
        <v>2029</v>
      </c>
      <c r="U522" s="89">
        <v>11</v>
      </c>
      <c r="V522" s="208">
        <f t="shared" si="19"/>
        <v>47449</v>
      </c>
      <c r="W522" s="71">
        <v>27</v>
      </c>
      <c r="X522" s="82" t="s">
        <v>69</v>
      </c>
      <c r="Y522" s="74" t="s">
        <v>401</v>
      </c>
      <c r="Z522" s="74">
        <f t="shared" si="18"/>
        <v>47475</v>
      </c>
    </row>
    <row r="523" spans="19:26">
      <c r="S523" s="87">
        <v>7</v>
      </c>
      <c r="T523" s="88">
        <v>2029</v>
      </c>
      <c r="U523" s="89">
        <v>12</v>
      </c>
      <c r="V523" s="208">
        <f t="shared" si="19"/>
        <v>47459</v>
      </c>
      <c r="W523" s="71">
        <v>7</v>
      </c>
      <c r="X523" s="82" t="s">
        <v>64</v>
      </c>
      <c r="Y523" s="74" t="s">
        <v>402</v>
      </c>
      <c r="Z523" s="74">
        <f t="shared" si="18"/>
        <v>47484</v>
      </c>
    </row>
    <row r="524" spans="19:26">
      <c r="S524" s="87">
        <v>16</v>
      </c>
      <c r="T524" s="88">
        <v>2029</v>
      </c>
      <c r="U524" s="89">
        <v>12</v>
      </c>
      <c r="V524" s="208">
        <f t="shared" si="19"/>
        <v>47468</v>
      </c>
      <c r="W524" s="71">
        <v>16</v>
      </c>
      <c r="X524" s="82" t="s">
        <v>61</v>
      </c>
      <c r="Y524" s="74" t="s">
        <v>403</v>
      </c>
      <c r="Z524" s="74">
        <f t="shared" si="18"/>
        <v>47491</v>
      </c>
    </row>
    <row r="525" spans="19:26">
      <c r="S525" s="90">
        <v>23</v>
      </c>
      <c r="T525" s="88">
        <v>2029</v>
      </c>
      <c r="U525" s="91">
        <v>12</v>
      </c>
      <c r="V525" s="208">
        <f t="shared" si="19"/>
        <v>47475</v>
      </c>
      <c r="W525" s="71">
        <v>23</v>
      </c>
      <c r="X525" s="82" t="s">
        <v>61</v>
      </c>
      <c r="Y525" s="74" t="s">
        <v>404</v>
      </c>
      <c r="Z525" s="74">
        <f t="shared" si="18"/>
        <v>47498</v>
      </c>
    </row>
    <row r="526" spans="19:26">
      <c r="S526" s="87">
        <v>27</v>
      </c>
      <c r="T526" s="88">
        <v>2029</v>
      </c>
      <c r="U526" s="89">
        <v>12</v>
      </c>
      <c r="V526" s="208">
        <f t="shared" si="19"/>
        <v>47479</v>
      </c>
      <c r="W526" s="71">
        <v>27</v>
      </c>
      <c r="X526" s="82" t="s">
        <v>62</v>
      </c>
      <c r="Y526" s="74" t="s">
        <v>405</v>
      </c>
      <c r="Z526" s="74">
        <f t="shared" si="18"/>
        <v>47506</v>
      </c>
    </row>
    <row r="527" spans="19:26">
      <c r="S527" s="87">
        <v>7</v>
      </c>
      <c r="T527" s="88">
        <v>2030</v>
      </c>
      <c r="U527" s="89">
        <v>1</v>
      </c>
      <c r="V527" s="208">
        <f t="shared" si="19"/>
        <v>47490</v>
      </c>
      <c r="W527" s="71">
        <v>7</v>
      </c>
      <c r="X527" s="82" t="s">
        <v>76</v>
      </c>
      <c r="Y527" s="74" t="s">
        <v>406</v>
      </c>
      <c r="Z527" s="74">
        <f t="shared" si="18"/>
        <v>47515</v>
      </c>
    </row>
    <row r="528" spans="19:26">
      <c r="S528" s="87">
        <v>16</v>
      </c>
      <c r="T528" s="88">
        <v>2030</v>
      </c>
      <c r="U528" s="89">
        <v>1</v>
      </c>
      <c r="V528" s="208">
        <f t="shared" si="19"/>
        <v>47499</v>
      </c>
      <c r="W528" s="71">
        <v>16</v>
      </c>
      <c r="X528" s="82" t="s">
        <v>66</v>
      </c>
      <c r="Y528" s="74" t="s">
        <v>407</v>
      </c>
      <c r="Z528" s="74">
        <f t="shared" si="18"/>
        <v>47522</v>
      </c>
    </row>
    <row r="529" spans="19:26">
      <c r="S529" s="87">
        <v>23</v>
      </c>
      <c r="T529" s="88">
        <v>2030</v>
      </c>
      <c r="U529" s="89">
        <v>1</v>
      </c>
      <c r="V529" s="208">
        <f t="shared" si="19"/>
        <v>47506</v>
      </c>
      <c r="W529" s="71">
        <v>23</v>
      </c>
      <c r="X529" s="82" t="s">
        <v>66</v>
      </c>
      <c r="Y529" s="74" t="s">
        <v>408</v>
      </c>
      <c r="Z529" s="74">
        <f t="shared" si="18"/>
        <v>47529</v>
      </c>
    </row>
    <row r="530" spans="19:26">
      <c r="S530" s="87">
        <v>27</v>
      </c>
      <c r="T530" s="88">
        <v>2030</v>
      </c>
      <c r="U530" s="89">
        <v>1</v>
      </c>
      <c r="V530" s="208">
        <f t="shared" si="19"/>
        <v>47510</v>
      </c>
      <c r="W530" s="71">
        <v>27</v>
      </c>
      <c r="X530" s="82" t="s">
        <v>61</v>
      </c>
      <c r="Y530" s="74" t="s">
        <v>409</v>
      </c>
      <c r="Z530" s="74">
        <f t="shared" si="18"/>
        <v>47537</v>
      </c>
    </row>
    <row r="531" spans="19:26">
      <c r="S531" s="87">
        <v>7</v>
      </c>
      <c r="T531" s="88">
        <v>2030</v>
      </c>
      <c r="U531" s="89">
        <v>2</v>
      </c>
      <c r="V531" s="208">
        <f t="shared" si="19"/>
        <v>47521</v>
      </c>
      <c r="W531" s="71">
        <v>7</v>
      </c>
      <c r="X531" s="82" t="s">
        <v>62</v>
      </c>
      <c r="Y531" s="74" t="s">
        <v>410</v>
      </c>
      <c r="Z531" s="74">
        <f t="shared" si="18"/>
        <v>47543</v>
      </c>
    </row>
    <row r="532" spans="19:26">
      <c r="S532" s="87">
        <v>16</v>
      </c>
      <c r="T532" s="88">
        <v>2030</v>
      </c>
      <c r="U532" s="89">
        <v>2</v>
      </c>
      <c r="V532" s="208">
        <f t="shared" si="19"/>
        <v>47530</v>
      </c>
      <c r="W532" s="71">
        <v>16</v>
      </c>
      <c r="X532" s="82" t="s">
        <v>121</v>
      </c>
      <c r="Y532" s="74" t="s">
        <v>411</v>
      </c>
      <c r="Z532" s="74">
        <f t="shared" si="18"/>
        <v>47550</v>
      </c>
    </row>
    <row r="533" spans="19:26">
      <c r="S533" s="87">
        <v>23</v>
      </c>
      <c r="T533" s="88">
        <v>2030</v>
      </c>
      <c r="U533" s="89">
        <v>2</v>
      </c>
      <c r="V533" s="208">
        <f t="shared" si="19"/>
        <v>47537</v>
      </c>
      <c r="W533" s="71">
        <v>23</v>
      </c>
      <c r="X533" s="82" t="s">
        <v>121</v>
      </c>
      <c r="Y533" s="74" t="s">
        <v>412</v>
      </c>
      <c r="Z533" s="74">
        <f t="shared" si="18"/>
        <v>47557</v>
      </c>
    </row>
    <row r="534" spans="19:26">
      <c r="S534" s="87">
        <v>27</v>
      </c>
      <c r="T534" s="88">
        <v>2030</v>
      </c>
      <c r="U534" s="89">
        <v>2</v>
      </c>
      <c r="V534" s="208">
        <f t="shared" si="19"/>
        <v>47541</v>
      </c>
      <c r="W534" s="71">
        <v>27</v>
      </c>
      <c r="X534" s="82" t="s">
        <v>66</v>
      </c>
      <c r="Y534" s="74" t="s">
        <v>413</v>
      </c>
      <c r="Z534" s="74">
        <f t="shared" si="18"/>
        <v>47565</v>
      </c>
    </row>
    <row r="535" spans="19:26">
      <c r="S535" s="87">
        <v>7</v>
      </c>
      <c r="T535" s="88">
        <v>2030</v>
      </c>
      <c r="U535" s="89">
        <v>3</v>
      </c>
      <c r="V535" s="208">
        <f t="shared" si="19"/>
        <v>47549</v>
      </c>
      <c r="W535" s="71">
        <v>7</v>
      </c>
      <c r="X535" s="82" t="s">
        <v>62</v>
      </c>
      <c r="Y535" s="74" t="s">
        <v>414</v>
      </c>
      <c r="Z535" s="74">
        <f t="shared" si="18"/>
        <v>47574</v>
      </c>
    </row>
    <row r="536" spans="19:26">
      <c r="S536" s="87">
        <v>16</v>
      </c>
      <c r="T536" s="88">
        <v>2030</v>
      </c>
      <c r="U536" s="89">
        <v>3</v>
      </c>
      <c r="V536" s="208">
        <f t="shared" si="19"/>
        <v>47558</v>
      </c>
      <c r="W536" s="71">
        <v>16</v>
      </c>
      <c r="X536" s="82" t="s">
        <v>121</v>
      </c>
      <c r="Y536" s="74" t="s">
        <v>415</v>
      </c>
      <c r="Z536" s="74">
        <f t="shared" si="18"/>
        <v>47581</v>
      </c>
    </row>
    <row r="537" spans="19:26">
      <c r="S537" s="87">
        <v>23</v>
      </c>
      <c r="T537" s="88">
        <v>2030</v>
      </c>
      <c r="U537" s="89">
        <v>3</v>
      </c>
      <c r="V537" s="208">
        <f t="shared" si="19"/>
        <v>47565</v>
      </c>
      <c r="W537" s="71">
        <v>23</v>
      </c>
      <c r="X537" s="82" t="s">
        <v>121</v>
      </c>
      <c r="Y537" s="74" t="s">
        <v>416</v>
      </c>
      <c r="Z537" s="74">
        <f t="shared" si="18"/>
        <v>47588</v>
      </c>
    </row>
    <row r="538" spans="19:26">
      <c r="S538" s="87">
        <v>27</v>
      </c>
      <c r="T538" s="88">
        <v>2030</v>
      </c>
      <c r="U538" s="89">
        <v>3</v>
      </c>
      <c r="V538" s="208">
        <f t="shared" si="19"/>
        <v>47569</v>
      </c>
      <c r="W538" s="71">
        <v>27</v>
      </c>
      <c r="X538" s="82" t="s">
        <v>66</v>
      </c>
      <c r="Y538" s="74" t="s">
        <v>417</v>
      </c>
      <c r="Z538" s="74">
        <f t="shared" si="18"/>
        <v>47596</v>
      </c>
    </row>
    <row r="539" spans="19:26">
      <c r="S539" s="87">
        <v>7</v>
      </c>
      <c r="T539" s="88">
        <v>2030</v>
      </c>
      <c r="U539" s="89">
        <v>4</v>
      </c>
      <c r="V539" s="208">
        <f t="shared" si="19"/>
        <v>47580</v>
      </c>
      <c r="W539" s="71">
        <v>7</v>
      </c>
      <c r="X539" s="82" t="s">
        <v>61</v>
      </c>
      <c r="Y539" s="74" t="s">
        <v>418</v>
      </c>
      <c r="Z539" s="74">
        <f t="shared" ref="Z539:Z602" si="20">DATE(YEAR(Y539)+1/12,MONTH(Y539),DAY(Y539))</f>
        <v>47604</v>
      </c>
    </row>
    <row r="540" spans="19:26">
      <c r="S540" s="87">
        <v>16</v>
      </c>
      <c r="T540" s="88">
        <v>2030</v>
      </c>
      <c r="U540" s="89">
        <v>4</v>
      </c>
      <c r="V540" s="208">
        <f t="shared" si="19"/>
        <v>47589</v>
      </c>
      <c r="W540" s="71">
        <v>16</v>
      </c>
      <c r="X540" s="82" t="s">
        <v>69</v>
      </c>
      <c r="Y540" s="74" t="s">
        <v>419</v>
      </c>
      <c r="Z540" s="74">
        <f t="shared" si="20"/>
        <v>47611</v>
      </c>
    </row>
    <row r="541" spans="19:26">
      <c r="S541" s="87">
        <v>23</v>
      </c>
      <c r="T541" s="88">
        <v>2030</v>
      </c>
      <c r="U541" s="89">
        <v>4</v>
      </c>
      <c r="V541" s="208">
        <f t="shared" si="19"/>
        <v>47596</v>
      </c>
      <c r="W541" s="71">
        <v>23</v>
      </c>
      <c r="X541" s="82" t="s">
        <v>69</v>
      </c>
      <c r="Y541" s="74" t="s">
        <v>420</v>
      </c>
      <c r="Z541" s="74">
        <f t="shared" si="20"/>
        <v>47618</v>
      </c>
    </row>
    <row r="542" spans="19:26">
      <c r="S542" s="87">
        <v>27</v>
      </c>
      <c r="T542" s="88">
        <v>2030</v>
      </c>
      <c r="U542" s="89">
        <v>4</v>
      </c>
      <c r="V542" s="208">
        <f t="shared" si="19"/>
        <v>47600</v>
      </c>
      <c r="W542" s="71">
        <v>27</v>
      </c>
      <c r="X542" s="82" t="s">
        <v>121</v>
      </c>
      <c r="Y542" s="74" t="s">
        <v>421</v>
      </c>
      <c r="Z542" s="74">
        <f t="shared" si="20"/>
        <v>47626</v>
      </c>
    </row>
    <row r="543" spans="19:26">
      <c r="S543" s="87">
        <v>7</v>
      </c>
      <c r="T543" s="88">
        <v>2030</v>
      </c>
      <c r="U543" s="89">
        <v>5</v>
      </c>
      <c r="V543" s="208">
        <f t="shared" si="19"/>
        <v>47610</v>
      </c>
      <c r="W543" s="71">
        <v>7</v>
      </c>
      <c r="X543" s="82" t="s">
        <v>69</v>
      </c>
      <c r="Y543" s="74" t="s">
        <v>422</v>
      </c>
      <c r="Z543" s="74">
        <f t="shared" si="20"/>
        <v>47635</v>
      </c>
    </row>
    <row r="544" spans="19:26">
      <c r="S544" s="87">
        <v>16</v>
      </c>
      <c r="T544" s="88">
        <v>2030</v>
      </c>
      <c r="U544" s="89">
        <v>5</v>
      </c>
      <c r="V544" s="208">
        <f t="shared" si="19"/>
        <v>47619</v>
      </c>
      <c r="W544" s="71">
        <v>16</v>
      </c>
      <c r="X544" s="82" t="s">
        <v>62</v>
      </c>
      <c r="Y544" s="74" t="s">
        <v>423</v>
      </c>
      <c r="Z544" s="74">
        <f t="shared" si="20"/>
        <v>47642</v>
      </c>
    </row>
    <row r="545" spans="19:26">
      <c r="S545" s="87">
        <v>23</v>
      </c>
      <c r="T545" s="88">
        <v>2030</v>
      </c>
      <c r="U545" s="89">
        <v>5</v>
      </c>
      <c r="V545" s="208">
        <f t="shared" si="19"/>
        <v>47626</v>
      </c>
      <c r="W545" s="71">
        <v>23</v>
      </c>
      <c r="X545" s="82" t="s">
        <v>62</v>
      </c>
      <c r="Y545" s="74" t="s">
        <v>424</v>
      </c>
      <c r="Z545" s="74">
        <f t="shared" si="20"/>
        <v>47649</v>
      </c>
    </row>
    <row r="546" spans="19:26">
      <c r="S546" s="87">
        <v>27</v>
      </c>
      <c r="T546" s="88">
        <v>2030</v>
      </c>
      <c r="U546" s="89">
        <v>5</v>
      </c>
      <c r="V546" s="208">
        <f t="shared" si="19"/>
        <v>47630</v>
      </c>
      <c r="W546" s="71">
        <v>27</v>
      </c>
      <c r="X546" s="82" t="s">
        <v>76</v>
      </c>
      <c r="Y546" s="74" t="s">
        <v>425</v>
      </c>
      <c r="Z546" s="74">
        <f t="shared" si="20"/>
        <v>47657</v>
      </c>
    </row>
    <row r="547" spans="19:26">
      <c r="S547" s="87">
        <v>7</v>
      </c>
      <c r="T547" s="88">
        <v>2030</v>
      </c>
      <c r="U547" s="89">
        <v>6</v>
      </c>
      <c r="V547" s="208">
        <f t="shared" si="19"/>
        <v>47641</v>
      </c>
      <c r="W547" s="71">
        <v>7</v>
      </c>
      <c r="X547" s="82" t="s">
        <v>64</v>
      </c>
      <c r="Y547" s="74" t="s">
        <v>426</v>
      </c>
      <c r="Z547" s="74">
        <f t="shared" si="20"/>
        <v>47665</v>
      </c>
    </row>
    <row r="548" spans="19:26">
      <c r="S548" s="87">
        <v>16</v>
      </c>
      <c r="T548" s="88">
        <v>2030</v>
      </c>
      <c r="U548" s="89">
        <v>6</v>
      </c>
      <c r="V548" s="208">
        <f t="shared" si="19"/>
        <v>47650</v>
      </c>
      <c r="W548" s="71">
        <v>16</v>
      </c>
      <c r="X548" s="82" t="s">
        <v>61</v>
      </c>
      <c r="Y548" s="74" t="s">
        <v>427</v>
      </c>
      <c r="Z548" s="74">
        <f t="shared" si="20"/>
        <v>47672</v>
      </c>
    </row>
    <row r="549" spans="19:26">
      <c r="S549" s="87">
        <v>23</v>
      </c>
      <c r="T549" s="88">
        <v>2030</v>
      </c>
      <c r="U549" s="89">
        <v>6</v>
      </c>
      <c r="V549" s="208">
        <f t="shared" si="19"/>
        <v>47657</v>
      </c>
      <c r="W549" s="71">
        <v>23</v>
      </c>
      <c r="X549" s="82" t="s">
        <v>61</v>
      </c>
      <c r="Y549" s="74" t="s">
        <v>428</v>
      </c>
      <c r="Z549" s="74">
        <f t="shared" si="20"/>
        <v>47679</v>
      </c>
    </row>
    <row r="550" spans="19:26">
      <c r="S550" s="87">
        <v>27</v>
      </c>
      <c r="T550" s="88">
        <v>2030</v>
      </c>
      <c r="U550" s="89">
        <v>6</v>
      </c>
      <c r="V550" s="208">
        <f t="shared" si="19"/>
        <v>47661</v>
      </c>
      <c r="W550" s="71">
        <v>27</v>
      </c>
      <c r="X550" s="82" t="s">
        <v>62</v>
      </c>
      <c r="Y550" s="74" t="s">
        <v>429</v>
      </c>
      <c r="Z550" s="74">
        <f t="shared" si="20"/>
        <v>47687</v>
      </c>
    </row>
    <row r="551" spans="19:26">
      <c r="S551" s="87">
        <v>7</v>
      </c>
      <c r="T551" s="88">
        <v>2030</v>
      </c>
      <c r="U551" s="89">
        <v>7</v>
      </c>
      <c r="V551" s="208">
        <f t="shared" si="19"/>
        <v>47671</v>
      </c>
      <c r="W551" s="71">
        <v>7</v>
      </c>
      <c r="X551" s="82" t="s">
        <v>61</v>
      </c>
      <c r="Y551" s="74" t="s">
        <v>430</v>
      </c>
      <c r="Z551" s="74">
        <f t="shared" si="20"/>
        <v>47696</v>
      </c>
    </row>
    <row r="552" spans="19:26">
      <c r="S552" s="87">
        <v>16</v>
      </c>
      <c r="T552" s="88">
        <v>2030</v>
      </c>
      <c r="U552" s="89">
        <v>7</v>
      </c>
      <c r="V552" s="208">
        <f t="shared" si="19"/>
        <v>47680</v>
      </c>
      <c r="W552" s="71">
        <v>16</v>
      </c>
      <c r="X552" s="82" t="s">
        <v>69</v>
      </c>
      <c r="Y552" s="74" t="s">
        <v>431</v>
      </c>
      <c r="Z552" s="74">
        <f t="shared" si="20"/>
        <v>47703</v>
      </c>
    </row>
    <row r="553" spans="19:26">
      <c r="S553" s="87">
        <v>23</v>
      </c>
      <c r="T553" s="88">
        <v>2030</v>
      </c>
      <c r="U553" s="89">
        <v>7</v>
      </c>
      <c r="V553" s="208">
        <f t="shared" si="19"/>
        <v>47687</v>
      </c>
      <c r="W553" s="71">
        <v>23</v>
      </c>
      <c r="X553" s="82" t="s">
        <v>69</v>
      </c>
      <c r="Y553" s="74" t="s">
        <v>432</v>
      </c>
      <c r="Z553" s="74">
        <f t="shared" si="20"/>
        <v>47710</v>
      </c>
    </row>
    <row r="554" spans="19:26">
      <c r="S554" s="87">
        <v>27</v>
      </c>
      <c r="T554" s="88">
        <v>2030</v>
      </c>
      <c r="U554" s="89">
        <v>7</v>
      </c>
      <c r="V554" s="208">
        <f t="shared" si="19"/>
        <v>47691</v>
      </c>
      <c r="W554" s="71">
        <v>27</v>
      </c>
      <c r="X554" s="82" t="s">
        <v>121</v>
      </c>
      <c r="Y554" s="74" t="s">
        <v>433</v>
      </c>
      <c r="Z554" s="74">
        <f t="shared" si="20"/>
        <v>47718</v>
      </c>
    </row>
    <row r="555" spans="19:26">
      <c r="S555" s="87">
        <v>7</v>
      </c>
      <c r="T555" s="88">
        <v>2030</v>
      </c>
      <c r="U555" s="89">
        <v>8</v>
      </c>
      <c r="V555" s="208">
        <f t="shared" si="19"/>
        <v>47702</v>
      </c>
      <c r="W555" s="71">
        <v>7</v>
      </c>
      <c r="X555" s="82" t="s">
        <v>66</v>
      </c>
      <c r="Y555" s="74" t="s">
        <v>434</v>
      </c>
      <c r="Z555" s="74">
        <f t="shared" si="20"/>
        <v>47727</v>
      </c>
    </row>
    <row r="556" spans="19:26">
      <c r="S556" s="87">
        <v>16</v>
      </c>
      <c r="T556" s="88">
        <v>2030</v>
      </c>
      <c r="U556" s="89">
        <v>8</v>
      </c>
      <c r="V556" s="208">
        <f t="shared" si="19"/>
        <v>47711</v>
      </c>
      <c r="W556" s="71">
        <v>16</v>
      </c>
      <c r="X556" s="82" t="s">
        <v>64</v>
      </c>
      <c r="Y556" s="74" t="s">
        <v>435</v>
      </c>
      <c r="Z556" s="74">
        <f t="shared" si="20"/>
        <v>47734</v>
      </c>
    </row>
    <row r="557" spans="19:26">
      <c r="S557" s="87">
        <v>23</v>
      </c>
      <c r="T557" s="88">
        <v>2030</v>
      </c>
      <c r="U557" s="89">
        <v>8</v>
      </c>
      <c r="V557" s="208">
        <f t="shared" si="19"/>
        <v>47718</v>
      </c>
      <c r="W557" s="71">
        <v>23</v>
      </c>
      <c r="X557" s="82" t="s">
        <v>64</v>
      </c>
      <c r="Y557" s="74" t="s">
        <v>436</v>
      </c>
      <c r="Z557" s="74">
        <f t="shared" si="20"/>
        <v>47741</v>
      </c>
    </row>
    <row r="558" spans="19:26">
      <c r="S558" s="87">
        <v>27</v>
      </c>
      <c r="T558" s="88">
        <v>2030</v>
      </c>
      <c r="U558" s="89">
        <v>8</v>
      </c>
      <c r="V558" s="208">
        <f t="shared" si="19"/>
        <v>47722</v>
      </c>
      <c r="W558" s="71">
        <v>27</v>
      </c>
      <c r="X558" s="82" t="s">
        <v>69</v>
      </c>
      <c r="Y558" s="74" t="s">
        <v>437</v>
      </c>
      <c r="Z558" s="74">
        <f t="shared" si="20"/>
        <v>47749</v>
      </c>
    </row>
    <row r="559" spans="19:26">
      <c r="S559" s="87">
        <v>7</v>
      </c>
      <c r="T559" s="88">
        <v>2030</v>
      </c>
      <c r="U559" s="89">
        <v>9</v>
      </c>
      <c r="V559" s="208">
        <f t="shared" si="19"/>
        <v>47733</v>
      </c>
      <c r="W559" s="71">
        <v>7</v>
      </c>
      <c r="X559" s="82" t="s">
        <v>121</v>
      </c>
      <c r="Y559" s="74" t="s">
        <v>438</v>
      </c>
      <c r="Z559" s="74">
        <f t="shared" si="20"/>
        <v>47757</v>
      </c>
    </row>
    <row r="560" spans="19:26">
      <c r="S560" s="87">
        <v>16</v>
      </c>
      <c r="T560" s="88">
        <v>2030</v>
      </c>
      <c r="U560" s="89">
        <v>9</v>
      </c>
      <c r="V560" s="208">
        <f t="shared" si="19"/>
        <v>47742</v>
      </c>
      <c r="W560" s="71">
        <v>16</v>
      </c>
      <c r="X560" s="82" t="s">
        <v>76</v>
      </c>
      <c r="Y560" s="74" t="s">
        <v>439</v>
      </c>
      <c r="Z560" s="74">
        <f t="shared" si="20"/>
        <v>47764</v>
      </c>
    </row>
    <row r="561" spans="19:26">
      <c r="S561" s="87">
        <v>23</v>
      </c>
      <c r="T561" s="88">
        <v>2030</v>
      </c>
      <c r="U561" s="89">
        <v>9</v>
      </c>
      <c r="V561" s="208">
        <f t="shared" si="19"/>
        <v>47749</v>
      </c>
      <c r="W561" s="71">
        <v>23</v>
      </c>
      <c r="X561" s="82" t="s">
        <v>76</v>
      </c>
      <c r="Y561" s="74" t="s">
        <v>440</v>
      </c>
      <c r="Z561" s="74">
        <f t="shared" si="20"/>
        <v>47771</v>
      </c>
    </row>
    <row r="562" spans="19:26">
      <c r="S562" s="87">
        <v>27</v>
      </c>
      <c r="T562" s="88">
        <v>2030</v>
      </c>
      <c r="U562" s="89">
        <v>9</v>
      </c>
      <c r="V562" s="208">
        <f t="shared" si="19"/>
        <v>47753</v>
      </c>
      <c r="W562" s="71">
        <v>27</v>
      </c>
      <c r="X562" s="82" t="s">
        <v>64</v>
      </c>
      <c r="Y562" s="74" t="s">
        <v>441</v>
      </c>
      <c r="Z562" s="74">
        <f t="shared" si="20"/>
        <v>47779</v>
      </c>
    </row>
    <row r="563" spans="19:26">
      <c r="S563" s="87">
        <v>7</v>
      </c>
      <c r="T563" s="88">
        <v>2030</v>
      </c>
      <c r="U563" s="89">
        <v>10</v>
      </c>
      <c r="V563" s="208">
        <f t="shared" si="19"/>
        <v>47763</v>
      </c>
      <c r="W563" s="71">
        <v>7</v>
      </c>
      <c r="X563" s="82" t="s">
        <v>76</v>
      </c>
      <c r="Y563" s="74" t="s">
        <v>442</v>
      </c>
      <c r="Z563" s="74">
        <f t="shared" si="20"/>
        <v>47788</v>
      </c>
    </row>
    <row r="564" spans="19:26">
      <c r="S564" s="87">
        <v>16</v>
      </c>
      <c r="T564" s="88">
        <v>2030</v>
      </c>
      <c r="U564" s="89">
        <v>10</v>
      </c>
      <c r="V564" s="208">
        <f t="shared" si="19"/>
        <v>47772</v>
      </c>
      <c r="W564" s="71">
        <v>16</v>
      </c>
      <c r="X564" s="82" t="s">
        <v>66</v>
      </c>
      <c r="Y564" s="74" t="s">
        <v>443</v>
      </c>
      <c r="Z564" s="74">
        <f t="shared" si="20"/>
        <v>47795</v>
      </c>
    </row>
    <row r="565" spans="19:26">
      <c r="S565" s="87">
        <v>23</v>
      </c>
      <c r="T565" s="88">
        <v>2030</v>
      </c>
      <c r="U565" s="89">
        <v>10</v>
      </c>
      <c r="V565" s="208">
        <f t="shared" si="19"/>
        <v>47779</v>
      </c>
      <c r="W565" s="71">
        <v>23</v>
      </c>
      <c r="X565" s="82" t="s">
        <v>66</v>
      </c>
      <c r="Y565" s="74" t="s">
        <v>444</v>
      </c>
      <c r="Z565" s="74">
        <f t="shared" si="20"/>
        <v>47802</v>
      </c>
    </row>
    <row r="566" spans="19:26">
      <c r="S566" s="87">
        <v>27</v>
      </c>
      <c r="T566" s="88">
        <v>2030</v>
      </c>
      <c r="U566" s="89">
        <v>10</v>
      </c>
      <c r="V566" s="208">
        <f t="shared" si="19"/>
        <v>47783</v>
      </c>
      <c r="W566" s="71">
        <v>27</v>
      </c>
      <c r="X566" s="82" t="s">
        <v>61</v>
      </c>
      <c r="Y566" s="74" t="s">
        <v>445</v>
      </c>
      <c r="Z566" s="74">
        <f t="shared" si="20"/>
        <v>47810</v>
      </c>
    </row>
    <row r="567" spans="19:26">
      <c r="S567" s="87">
        <v>7</v>
      </c>
      <c r="T567" s="88">
        <v>2030</v>
      </c>
      <c r="U567" s="89">
        <v>11</v>
      </c>
      <c r="V567" s="208">
        <f t="shared" si="19"/>
        <v>47794</v>
      </c>
      <c r="W567" s="71">
        <v>7</v>
      </c>
      <c r="X567" s="82" t="s">
        <v>62</v>
      </c>
      <c r="Y567" s="74" t="s">
        <v>446</v>
      </c>
      <c r="Z567" s="74">
        <f t="shared" si="20"/>
        <v>47818</v>
      </c>
    </row>
    <row r="568" spans="19:26">
      <c r="S568" s="87">
        <v>16</v>
      </c>
      <c r="T568" s="88">
        <v>2030</v>
      </c>
      <c r="U568" s="89">
        <v>11</v>
      </c>
      <c r="V568" s="208">
        <f t="shared" si="19"/>
        <v>47803</v>
      </c>
      <c r="W568" s="71">
        <v>16</v>
      </c>
      <c r="X568" s="82" t="s">
        <v>121</v>
      </c>
      <c r="Y568" s="74" t="s">
        <v>447</v>
      </c>
      <c r="Z568" s="74">
        <f t="shared" si="20"/>
        <v>47825</v>
      </c>
    </row>
    <row r="569" spans="19:26">
      <c r="S569" s="87">
        <v>23</v>
      </c>
      <c r="T569" s="88">
        <v>2030</v>
      </c>
      <c r="U569" s="89">
        <v>11</v>
      </c>
      <c r="V569" s="208">
        <f t="shared" si="19"/>
        <v>47810</v>
      </c>
      <c r="W569" s="71">
        <v>23</v>
      </c>
      <c r="X569" s="82" t="s">
        <v>121</v>
      </c>
      <c r="Y569" s="74" t="s">
        <v>448</v>
      </c>
      <c r="Z569" s="74">
        <f t="shared" si="20"/>
        <v>47832</v>
      </c>
    </row>
    <row r="570" spans="19:26">
      <c r="S570" s="87">
        <v>27</v>
      </c>
      <c r="T570" s="88">
        <v>2030</v>
      </c>
      <c r="U570" s="89">
        <v>11</v>
      </c>
      <c r="V570" s="208">
        <f t="shared" si="19"/>
        <v>47814</v>
      </c>
      <c r="W570" s="71">
        <v>27</v>
      </c>
      <c r="X570" s="82" t="s">
        <v>66</v>
      </c>
      <c r="Y570" s="74" t="s">
        <v>449</v>
      </c>
      <c r="Z570" s="74">
        <f t="shared" si="20"/>
        <v>47840</v>
      </c>
    </row>
    <row r="571" spans="19:26">
      <c r="S571" s="87">
        <v>7</v>
      </c>
      <c r="T571" s="88">
        <v>2030</v>
      </c>
      <c r="U571" s="89">
        <v>12</v>
      </c>
      <c r="V571" s="208">
        <f t="shared" si="19"/>
        <v>47824</v>
      </c>
      <c r="W571" s="71">
        <v>7</v>
      </c>
      <c r="X571" s="82" t="s">
        <v>121</v>
      </c>
      <c r="Y571" s="74" t="s">
        <v>450</v>
      </c>
      <c r="Z571" s="74">
        <f t="shared" si="20"/>
        <v>47849</v>
      </c>
    </row>
    <row r="572" spans="19:26">
      <c r="S572" s="87">
        <v>16</v>
      </c>
      <c r="T572" s="88">
        <v>2030</v>
      </c>
      <c r="U572" s="89">
        <v>12</v>
      </c>
      <c r="V572" s="208">
        <f t="shared" si="19"/>
        <v>47833</v>
      </c>
      <c r="W572" s="71">
        <v>16</v>
      </c>
      <c r="X572" s="82" t="s">
        <v>76</v>
      </c>
      <c r="Y572" s="74" t="s">
        <v>451</v>
      </c>
      <c r="Z572" s="74">
        <f t="shared" si="20"/>
        <v>47856</v>
      </c>
    </row>
    <row r="573" spans="19:26">
      <c r="S573" s="90">
        <v>23</v>
      </c>
      <c r="T573" s="88">
        <v>2030</v>
      </c>
      <c r="U573" s="91">
        <v>12</v>
      </c>
      <c r="V573" s="208">
        <f t="shared" si="19"/>
        <v>47840</v>
      </c>
      <c r="W573" s="71">
        <v>23</v>
      </c>
      <c r="X573" s="82" t="s">
        <v>76</v>
      </c>
      <c r="Y573" s="74" t="s">
        <v>452</v>
      </c>
      <c r="Z573" s="74">
        <f t="shared" si="20"/>
        <v>47863</v>
      </c>
    </row>
    <row r="574" spans="19:26">
      <c r="Y574" s="74" t="s">
        <v>453</v>
      </c>
      <c r="Z574" s="74">
        <f t="shared" si="20"/>
        <v>47871</v>
      </c>
    </row>
    <row r="575" spans="19:26">
      <c r="Y575" s="74" t="s">
        <v>454</v>
      </c>
      <c r="Z575" s="74">
        <f t="shared" si="20"/>
        <v>47880</v>
      </c>
    </row>
    <row r="576" spans="19:26">
      <c r="Y576" s="74" t="s">
        <v>455</v>
      </c>
      <c r="Z576" s="74">
        <f t="shared" si="20"/>
        <v>47887</v>
      </c>
    </row>
    <row r="577" spans="25:26">
      <c r="Y577" s="74" t="s">
        <v>456</v>
      </c>
      <c r="Z577" s="74">
        <f t="shared" si="20"/>
        <v>47894</v>
      </c>
    </row>
    <row r="578" spans="25:26">
      <c r="Y578" s="74" t="s">
        <v>457</v>
      </c>
      <c r="Z578" s="74">
        <f t="shared" si="20"/>
        <v>47902</v>
      </c>
    </row>
    <row r="579" spans="25:26">
      <c r="Y579" s="74" t="s">
        <v>458</v>
      </c>
      <c r="Z579" s="74">
        <f t="shared" si="20"/>
        <v>47908</v>
      </c>
    </row>
    <row r="580" spans="25:26">
      <c r="Y580" s="74" t="s">
        <v>459</v>
      </c>
      <c r="Z580" s="74">
        <f t="shared" si="20"/>
        <v>47915</v>
      </c>
    </row>
    <row r="581" spans="25:26">
      <c r="Y581" s="74" t="s">
        <v>460</v>
      </c>
      <c r="Z581" s="74">
        <f t="shared" si="20"/>
        <v>47922</v>
      </c>
    </row>
    <row r="582" spans="25:26">
      <c r="Y582" s="74" t="s">
        <v>461</v>
      </c>
      <c r="Z582" s="74">
        <f t="shared" si="20"/>
        <v>47930</v>
      </c>
    </row>
    <row r="583" spans="25:26">
      <c r="Y583" s="74" t="s">
        <v>462</v>
      </c>
      <c r="Z583" s="74">
        <f t="shared" si="20"/>
        <v>47939</v>
      </c>
    </row>
    <row r="584" spans="25:26">
      <c r="Y584" s="74" t="s">
        <v>463</v>
      </c>
      <c r="Z584" s="74">
        <f t="shared" si="20"/>
        <v>47946</v>
      </c>
    </row>
    <row r="585" spans="25:26">
      <c r="Y585" s="74" t="s">
        <v>464</v>
      </c>
      <c r="Z585" s="74">
        <f t="shared" si="20"/>
        <v>47953</v>
      </c>
    </row>
    <row r="586" spans="25:26">
      <c r="Y586" s="74" t="s">
        <v>465</v>
      </c>
      <c r="Z586" s="74">
        <f t="shared" si="20"/>
        <v>47961</v>
      </c>
    </row>
    <row r="587" spans="25:26">
      <c r="Y587" s="74" t="s">
        <v>466</v>
      </c>
      <c r="Z587" s="74">
        <f t="shared" si="20"/>
        <v>47969</v>
      </c>
    </row>
    <row r="588" spans="25:26">
      <c r="Y588" s="74" t="s">
        <v>467</v>
      </c>
      <c r="Z588" s="74">
        <f t="shared" si="20"/>
        <v>47976</v>
      </c>
    </row>
    <row r="589" spans="25:26">
      <c r="Y589" s="74" t="s">
        <v>468</v>
      </c>
      <c r="Z589" s="74">
        <f t="shared" si="20"/>
        <v>47983</v>
      </c>
    </row>
    <row r="590" spans="25:26">
      <c r="Y590" s="74" t="s">
        <v>469</v>
      </c>
      <c r="Z590" s="74">
        <f t="shared" si="20"/>
        <v>47991</v>
      </c>
    </row>
    <row r="591" spans="25:26">
      <c r="Y591" s="74" t="s">
        <v>470</v>
      </c>
      <c r="Z591" s="74">
        <f t="shared" si="20"/>
        <v>48000</v>
      </c>
    </row>
    <row r="592" spans="25:26">
      <c r="Y592" s="74" t="s">
        <v>471</v>
      </c>
      <c r="Z592" s="74">
        <f t="shared" si="20"/>
        <v>48007</v>
      </c>
    </row>
    <row r="593" spans="25:26">
      <c r="Y593" s="74" t="s">
        <v>472</v>
      </c>
      <c r="Z593" s="74">
        <f t="shared" si="20"/>
        <v>48014</v>
      </c>
    </row>
    <row r="594" spans="25:26">
      <c r="Y594" s="74" t="s">
        <v>473</v>
      </c>
      <c r="Z594" s="74">
        <f t="shared" si="20"/>
        <v>48022</v>
      </c>
    </row>
    <row r="595" spans="25:26">
      <c r="Y595" s="74" t="s">
        <v>474</v>
      </c>
      <c r="Z595" s="74">
        <f t="shared" si="20"/>
        <v>48030</v>
      </c>
    </row>
    <row r="596" spans="25:26">
      <c r="Y596" s="74" t="s">
        <v>475</v>
      </c>
      <c r="Z596" s="74">
        <f t="shared" si="20"/>
        <v>48037</v>
      </c>
    </row>
    <row r="597" spans="25:26">
      <c r="Y597" s="74" t="s">
        <v>476</v>
      </c>
      <c r="Z597" s="74">
        <f t="shared" si="20"/>
        <v>48044</v>
      </c>
    </row>
    <row r="598" spans="25:26">
      <c r="Y598" s="74" t="s">
        <v>477</v>
      </c>
      <c r="Z598" s="74">
        <f t="shared" si="20"/>
        <v>48052</v>
      </c>
    </row>
    <row r="599" spans="25:26">
      <c r="Y599" s="74" t="s">
        <v>478</v>
      </c>
      <c r="Z599" s="74">
        <f t="shared" si="20"/>
        <v>48061</v>
      </c>
    </row>
    <row r="600" spans="25:26">
      <c r="Y600" s="74" t="s">
        <v>479</v>
      </c>
      <c r="Z600" s="74">
        <f t="shared" si="20"/>
        <v>48068</v>
      </c>
    </row>
    <row r="601" spans="25:26">
      <c r="Y601" s="74" t="s">
        <v>480</v>
      </c>
      <c r="Z601" s="74">
        <f t="shared" si="20"/>
        <v>48075</v>
      </c>
    </row>
    <row r="602" spans="25:26">
      <c r="Y602" s="74" t="s">
        <v>481</v>
      </c>
      <c r="Z602" s="74">
        <f t="shared" si="20"/>
        <v>48083</v>
      </c>
    </row>
    <row r="603" spans="25:26">
      <c r="Y603" s="74" t="s">
        <v>482</v>
      </c>
      <c r="Z603" s="74">
        <f t="shared" ref="Z603:Z666" si="21">DATE(YEAR(Y603)+1/12,MONTH(Y603),DAY(Y603))</f>
        <v>48092</v>
      </c>
    </row>
    <row r="604" spans="25:26">
      <c r="Y604" s="74" t="s">
        <v>483</v>
      </c>
      <c r="Z604" s="74">
        <f t="shared" si="21"/>
        <v>48099</v>
      </c>
    </row>
    <row r="605" spans="25:26">
      <c r="Y605" s="74" t="s">
        <v>484</v>
      </c>
      <c r="Z605" s="74">
        <f t="shared" si="21"/>
        <v>48106</v>
      </c>
    </row>
    <row r="606" spans="25:26">
      <c r="Y606" s="74" t="s">
        <v>485</v>
      </c>
      <c r="Z606" s="74">
        <f t="shared" si="21"/>
        <v>48114</v>
      </c>
    </row>
    <row r="607" spans="25:26">
      <c r="Y607" s="74" t="s">
        <v>486</v>
      </c>
      <c r="Z607" s="74">
        <f t="shared" si="21"/>
        <v>48122</v>
      </c>
    </row>
    <row r="608" spans="25:26">
      <c r="Y608" s="74" t="s">
        <v>487</v>
      </c>
      <c r="Z608" s="74">
        <f t="shared" si="21"/>
        <v>48129</v>
      </c>
    </row>
    <row r="609" spans="25:26">
      <c r="Y609" s="74" t="s">
        <v>488</v>
      </c>
      <c r="Z609" s="74">
        <f t="shared" si="21"/>
        <v>48136</v>
      </c>
    </row>
    <row r="610" spans="25:26">
      <c r="Y610" s="74" t="s">
        <v>489</v>
      </c>
      <c r="Z610" s="74">
        <f t="shared" si="21"/>
        <v>48144</v>
      </c>
    </row>
    <row r="611" spans="25:26">
      <c r="Y611" s="74" t="s">
        <v>490</v>
      </c>
      <c r="Z611" s="74">
        <f t="shared" si="21"/>
        <v>48153</v>
      </c>
    </row>
    <row r="612" spans="25:26">
      <c r="Y612" s="74" t="s">
        <v>491</v>
      </c>
      <c r="Z612" s="74">
        <f t="shared" si="21"/>
        <v>48160</v>
      </c>
    </row>
    <row r="613" spans="25:26">
      <c r="Y613" s="74" t="s">
        <v>492</v>
      </c>
      <c r="Z613" s="74">
        <f t="shared" si="21"/>
        <v>48167</v>
      </c>
    </row>
    <row r="614" spans="25:26">
      <c r="Y614" s="74" t="s">
        <v>493</v>
      </c>
      <c r="Z614" s="74">
        <f t="shared" si="21"/>
        <v>48175</v>
      </c>
    </row>
    <row r="615" spans="25:26">
      <c r="Y615" s="74" t="s">
        <v>494</v>
      </c>
      <c r="Z615" s="74">
        <f t="shared" si="21"/>
        <v>48183</v>
      </c>
    </row>
    <row r="616" spans="25:26">
      <c r="Y616" s="74" t="s">
        <v>495</v>
      </c>
      <c r="Z616" s="74">
        <f t="shared" si="21"/>
        <v>48190</v>
      </c>
    </row>
    <row r="617" spans="25:26">
      <c r="Y617" s="74" t="s">
        <v>496</v>
      </c>
      <c r="Z617" s="74">
        <f t="shared" si="21"/>
        <v>48197</v>
      </c>
    </row>
    <row r="618" spans="25:26">
      <c r="Y618" s="74" t="s">
        <v>497</v>
      </c>
      <c r="Z618" s="74">
        <f t="shared" si="21"/>
        <v>48205</v>
      </c>
    </row>
    <row r="619" spans="25:26">
      <c r="Y619" s="74" t="s">
        <v>498</v>
      </c>
      <c r="Z619" s="74">
        <f t="shared" si="21"/>
        <v>48214</v>
      </c>
    </row>
    <row r="620" spans="25:26">
      <c r="Y620" s="74" t="s">
        <v>499</v>
      </c>
      <c r="Z620" s="74">
        <f t="shared" si="21"/>
        <v>48221</v>
      </c>
    </row>
    <row r="621" spans="25:26">
      <c r="Y621" s="74" t="s">
        <v>500</v>
      </c>
      <c r="Z621" s="74">
        <f t="shared" si="21"/>
        <v>48228</v>
      </c>
    </row>
    <row r="622" spans="25:26">
      <c r="Y622" s="74" t="s">
        <v>501</v>
      </c>
      <c r="Z622" s="74">
        <f t="shared" si="21"/>
        <v>48236</v>
      </c>
    </row>
    <row r="623" spans="25:26">
      <c r="Y623" s="74" t="s">
        <v>502</v>
      </c>
      <c r="Z623" s="74">
        <f t="shared" si="21"/>
        <v>48245</v>
      </c>
    </row>
    <row r="624" spans="25:26">
      <c r="Y624" s="74" t="s">
        <v>503</v>
      </c>
      <c r="Z624" s="74">
        <f t="shared" si="21"/>
        <v>48252</v>
      </c>
    </row>
    <row r="625" spans="25:26">
      <c r="Y625" s="74" t="s">
        <v>504</v>
      </c>
      <c r="Z625" s="74">
        <f t="shared" si="21"/>
        <v>48259</v>
      </c>
    </row>
    <row r="626" spans="25:26">
      <c r="Y626" s="74" t="s">
        <v>505</v>
      </c>
      <c r="Z626" s="74">
        <f t="shared" si="21"/>
        <v>48267</v>
      </c>
    </row>
    <row r="627" spans="25:26">
      <c r="Y627" s="74" t="s">
        <v>506</v>
      </c>
      <c r="Z627" s="74">
        <f t="shared" si="21"/>
        <v>48274</v>
      </c>
    </row>
    <row r="628" spans="25:26">
      <c r="Y628" s="74" t="s">
        <v>507</v>
      </c>
      <c r="Z628" s="74">
        <f t="shared" si="21"/>
        <v>48281</v>
      </c>
    </row>
    <row r="629" spans="25:26">
      <c r="Y629" s="74" t="s">
        <v>508</v>
      </c>
      <c r="Z629" s="74">
        <f t="shared" si="21"/>
        <v>48288</v>
      </c>
    </row>
    <row r="630" spans="25:26">
      <c r="Y630" s="74" t="s">
        <v>509</v>
      </c>
      <c r="Z630" s="74">
        <f t="shared" si="21"/>
        <v>48296</v>
      </c>
    </row>
    <row r="631" spans="25:26">
      <c r="Y631" s="74" t="s">
        <v>510</v>
      </c>
      <c r="Z631" s="74">
        <f t="shared" si="21"/>
        <v>48305</v>
      </c>
    </row>
    <row r="632" spans="25:26">
      <c r="Y632" s="74" t="s">
        <v>511</v>
      </c>
      <c r="Z632" s="74">
        <f t="shared" si="21"/>
        <v>48312</v>
      </c>
    </row>
    <row r="633" spans="25:26">
      <c r="Y633" s="74" t="s">
        <v>512</v>
      </c>
      <c r="Z633" s="74">
        <f t="shared" si="21"/>
        <v>48319</v>
      </c>
    </row>
    <row r="634" spans="25:26">
      <c r="Y634" s="74" t="s">
        <v>513</v>
      </c>
      <c r="Z634" s="74">
        <f t="shared" si="21"/>
        <v>48327</v>
      </c>
    </row>
    <row r="635" spans="25:26">
      <c r="Y635" s="74" t="s">
        <v>514</v>
      </c>
      <c r="Z635" s="74">
        <f t="shared" si="21"/>
        <v>48335</v>
      </c>
    </row>
    <row r="636" spans="25:26">
      <c r="Y636" s="74" t="s">
        <v>515</v>
      </c>
      <c r="Z636" s="74">
        <f t="shared" si="21"/>
        <v>48342</v>
      </c>
    </row>
    <row r="637" spans="25:26">
      <c r="Y637" s="74" t="s">
        <v>516</v>
      </c>
      <c r="Z637" s="74">
        <f t="shared" si="21"/>
        <v>48349</v>
      </c>
    </row>
    <row r="638" spans="25:26">
      <c r="Y638" s="74" t="s">
        <v>517</v>
      </c>
      <c r="Z638" s="74">
        <f t="shared" si="21"/>
        <v>48357</v>
      </c>
    </row>
    <row r="639" spans="25:26">
      <c r="Y639" s="74" t="s">
        <v>518</v>
      </c>
      <c r="Z639" s="74">
        <f t="shared" si="21"/>
        <v>48366</v>
      </c>
    </row>
    <row r="640" spans="25:26">
      <c r="Y640" s="74" t="s">
        <v>519</v>
      </c>
      <c r="Z640" s="74">
        <f t="shared" si="21"/>
        <v>48373</v>
      </c>
    </row>
    <row r="641" spans="25:26">
      <c r="Y641" s="74" t="s">
        <v>520</v>
      </c>
      <c r="Z641" s="74">
        <f t="shared" si="21"/>
        <v>48380</v>
      </c>
    </row>
    <row r="642" spans="25:26">
      <c r="Y642" s="74" t="s">
        <v>521</v>
      </c>
      <c r="Z642" s="74">
        <f t="shared" si="21"/>
        <v>48388</v>
      </c>
    </row>
    <row r="643" spans="25:26">
      <c r="Y643" s="74" t="s">
        <v>522</v>
      </c>
      <c r="Z643" s="74">
        <f t="shared" si="21"/>
        <v>48396</v>
      </c>
    </row>
    <row r="644" spans="25:26">
      <c r="Y644" s="74" t="s">
        <v>523</v>
      </c>
      <c r="Z644" s="74">
        <f t="shared" si="21"/>
        <v>48403</v>
      </c>
    </row>
    <row r="645" spans="25:26">
      <c r="Y645" s="74" t="s">
        <v>524</v>
      </c>
      <c r="Z645" s="74">
        <f t="shared" si="21"/>
        <v>48410</v>
      </c>
    </row>
    <row r="646" spans="25:26">
      <c r="Y646" s="74" t="s">
        <v>525</v>
      </c>
      <c r="Z646" s="74">
        <f t="shared" si="21"/>
        <v>48418</v>
      </c>
    </row>
    <row r="647" spans="25:26">
      <c r="Y647" s="74" t="s">
        <v>526</v>
      </c>
      <c r="Z647" s="74">
        <f t="shared" si="21"/>
        <v>48427</v>
      </c>
    </row>
    <row r="648" spans="25:26">
      <c r="Y648" s="74" t="s">
        <v>527</v>
      </c>
      <c r="Z648" s="74">
        <f t="shared" si="21"/>
        <v>48434</v>
      </c>
    </row>
    <row r="649" spans="25:26">
      <c r="Y649" s="74" t="s">
        <v>528</v>
      </c>
      <c r="Z649" s="74">
        <f t="shared" si="21"/>
        <v>48441</v>
      </c>
    </row>
    <row r="650" spans="25:26">
      <c r="Y650" s="74" t="s">
        <v>529</v>
      </c>
      <c r="Z650" s="74">
        <f t="shared" si="21"/>
        <v>48449</v>
      </c>
    </row>
    <row r="651" spans="25:26">
      <c r="Y651" s="74" t="s">
        <v>530</v>
      </c>
      <c r="Z651" s="74">
        <f t="shared" si="21"/>
        <v>48458</v>
      </c>
    </row>
    <row r="652" spans="25:26">
      <c r="Y652" s="74" t="s">
        <v>531</v>
      </c>
      <c r="Z652" s="74">
        <f t="shared" si="21"/>
        <v>48465</v>
      </c>
    </row>
    <row r="653" spans="25:26">
      <c r="Y653" s="74" t="s">
        <v>532</v>
      </c>
      <c r="Z653" s="74">
        <f t="shared" si="21"/>
        <v>48472</v>
      </c>
    </row>
    <row r="654" spans="25:26">
      <c r="Y654" s="74" t="s">
        <v>533</v>
      </c>
      <c r="Z654" s="74">
        <f t="shared" si="21"/>
        <v>48480</v>
      </c>
    </row>
    <row r="655" spans="25:26">
      <c r="Y655" s="74" t="s">
        <v>534</v>
      </c>
      <c r="Z655" s="74">
        <f t="shared" si="21"/>
        <v>48488</v>
      </c>
    </row>
    <row r="656" spans="25:26">
      <c r="Y656" s="74" t="s">
        <v>535</v>
      </c>
      <c r="Z656" s="74">
        <f t="shared" si="21"/>
        <v>48495</v>
      </c>
    </row>
    <row r="657" spans="25:26">
      <c r="Y657" s="74" t="s">
        <v>536</v>
      </c>
      <c r="Z657" s="74">
        <f t="shared" si="21"/>
        <v>48502</v>
      </c>
    </row>
    <row r="658" spans="25:26">
      <c r="Y658" s="74" t="s">
        <v>537</v>
      </c>
      <c r="Z658" s="74">
        <f t="shared" si="21"/>
        <v>48510</v>
      </c>
    </row>
    <row r="659" spans="25:26">
      <c r="Y659" s="74" t="s">
        <v>538</v>
      </c>
      <c r="Z659" s="74">
        <f t="shared" si="21"/>
        <v>48519</v>
      </c>
    </row>
    <row r="660" spans="25:26">
      <c r="Y660" s="74" t="s">
        <v>539</v>
      </c>
      <c r="Z660" s="74">
        <f t="shared" si="21"/>
        <v>48526</v>
      </c>
    </row>
    <row r="661" spans="25:26">
      <c r="Y661" s="74" t="s">
        <v>540</v>
      </c>
      <c r="Z661" s="74">
        <f t="shared" si="21"/>
        <v>48533</v>
      </c>
    </row>
    <row r="662" spans="25:26">
      <c r="Y662" s="74" t="s">
        <v>541</v>
      </c>
      <c r="Z662" s="74">
        <f t="shared" si="21"/>
        <v>48541</v>
      </c>
    </row>
    <row r="663" spans="25:26">
      <c r="Y663" s="74" t="s">
        <v>542</v>
      </c>
      <c r="Z663" s="74">
        <f t="shared" si="21"/>
        <v>48549</v>
      </c>
    </row>
    <row r="664" spans="25:26">
      <c r="Y664" s="74" t="s">
        <v>543</v>
      </c>
      <c r="Z664" s="74">
        <f t="shared" si="21"/>
        <v>48556</v>
      </c>
    </row>
    <row r="665" spans="25:26">
      <c r="Y665" s="74" t="s">
        <v>544</v>
      </c>
      <c r="Z665" s="74">
        <f t="shared" si="21"/>
        <v>48563</v>
      </c>
    </row>
    <row r="666" spans="25:26">
      <c r="Y666" s="74" t="s">
        <v>545</v>
      </c>
      <c r="Z666" s="74">
        <f t="shared" si="21"/>
        <v>48571</v>
      </c>
    </row>
    <row r="667" spans="25:26">
      <c r="Y667" s="74" t="s">
        <v>546</v>
      </c>
      <c r="Z667" s="74">
        <f t="shared" ref="Z667:Z730" si="22">DATE(YEAR(Y667)+1/12,MONTH(Y667),DAY(Y667))</f>
        <v>48580</v>
      </c>
    </row>
    <row r="668" spans="25:26">
      <c r="Y668" s="74" t="s">
        <v>547</v>
      </c>
      <c r="Z668" s="74">
        <f t="shared" si="22"/>
        <v>48587</v>
      </c>
    </row>
    <row r="669" spans="25:26">
      <c r="Y669" s="74" t="s">
        <v>548</v>
      </c>
      <c r="Z669" s="74">
        <f t="shared" si="22"/>
        <v>48594</v>
      </c>
    </row>
    <row r="670" spans="25:26">
      <c r="Y670" s="74" t="s">
        <v>549</v>
      </c>
      <c r="Z670" s="74">
        <f t="shared" si="22"/>
        <v>48602</v>
      </c>
    </row>
    <row r="671" spans="25:26">
      <c r="Y671" s="74" t="s">
        <v>550</v>
      </c>
      <c r="Z671" s="74">
        <f t="shared" si="22"/>
        <v>48611</v>
      </c>
    </row>
    <row r="672" spans="25:26">
      <c r="Y672" s="74" t="s">
        <v>551</v>
      </c>
      <c r="Z672" s="74">
        <f t="shared" si="22"/>
        <v>48618</v>
      </c>
    </row>
    <row r="673" spans="25:26">
      <c r="Y673" s="74" t="s">
        <v>552</v>
      </c>
      <c r="Z673" s="74">
        <f t="shared" si="22"/>
        <v>48625</v>
      </c>
    </row>
    <row r="674" spans="25:26">
      <c r="Y674" s="74" t="s">
        <v>553</v>
      </c>
      <c r="Z674" s="74">
        <f t="shared" si="22"/>
        <v>48633</v>
      </c>
    </row>
    <row r="675" spans="25:26">
      <c r="Y675" s="74" t="s">
        <v>554</v>
      </c>
      <c r="Z675" s="74">
        <f t="shared" si="22"/>
        <v>48639</v>
      </c>
    </row>
    <row r="676" spans="25:26">
      <c r="Y676" s="74" t="s">
        <v>555</v>
      </c>
      <c r="Z676" s="74">
        <f t="shared" si="22"/>
        <v>48646</v>
      </c>
    </row>
    <row r="677" spans="25:26">
      <c r="Y677" s="74" t="s">
        <v>556</v>
      </c>
      <c r="Z677" s="74">
        <f t="shared" si="22"/>
        <v>48653</v>
      </c>
    </row>
    <row r="678" spans="25:26">
      <c r="Y678" s="74" t="s">
        <v>557</v>
      </c>
      <c r="Z678" s="74">
        <f t="shared" si="22"/>
        <v>48661</v>
      </c>
    </row>
    <row r="679" spans="25:26">
      <c r="Y679" s="74" t="s">
        <v>558</v>
      </c>
      <c r="Z679" s="74">
        <f t="shared" si="22"/>
        <v>48670</v>
      </c>
    </row>
    <row r="680" spans="25:26">
      <c r="Y680" s="74" t="s">
        <v>559</v>
      </c>
      <c r="Z680" s="74">
        <f t="shared" si="22"/>
        <v>48677</v>
      </c>
    </row>
    <row r="681" spans="25:26">
      <c r="Y681" s="74" t="s">
        <v>560</v>
      </c>
      <c r="Z681" s="74">
        <f t="shared" si="22"/>
        <v>48684</v>
      </c>
    </row>
    <row r="682" spans="25:26">
      <c r="Y682" s="74" t="s">
        <v>561</v>
      </c>
      <c r="Z682" s="74">
        <f t="shared" si="22"/>
        <v>48692</v>
      </c>
    </row>
    <row r="683" spans="25:26">
      <c r="Y683" s="74" t="s">
        <v>562</v>
      </c>
      <c r="Z683" s="74">
        <f t="shared" si="22"/>
        <v>48700</v>
      </c>
    </row>
    <row r="684" spans="25:26">
      <c r="Y684" s="74" t="s">
        <v>563</v>
      </c>
      <c r="Z684" s="74">
        <f t="shared" si="22"/>
        <v>48707</v>
      </c>
    </row>
    <row r="685" spans="25:26">
      <c r="Y685" s="74" t="s">
        <v>564</v>
      </c>
      <c r="Z685" s="74">
        <f t="shared" si="22"/>
        <v>48714</v>
      </c>
    </row>
    <row r="686" spans="25:26">
      <c r="Y686" s="74" t="s">
        <v>565</v>
      </c>
      <c r="Z686" s="74">
        <f t="shared" si="22"/>
        <v>48722</v>
      </c>
    </row>
    <row r="687" spans="25:26">
      <c r="Y687" s="74" t="s">
        <v>566</v>
      </c>
      <c r="Z687" s="74">
        <f t="shared" si="22"/>
        <v>48731</v>
      </c>
    </row>
    <row r="688" spans="25:26">
      <c r="Y688" s="74" t="s">
        <v>567</v>
      </c>
      <c r="Z688" s="74">
        <f t="shared" si="22"/>
        <v>48738</v>
      </c>
    </row>
    <row r="689" spans="25:26">
      <c r="Y689" s="74" t="s">
        <v>568</v>
      </c>
      <c r="Z689" s="74">
        <f t="shared" si="22"/>
        <v>48745</v>
      </c>
    </row>
    <row r="690" spans="25:26">
      <c r="Y690" s="74" t="s">
        <v>569</v>
      </c>
      <c r="Z690" s="74">
        <f t="shared" si="22"/>
        <v>48753</v>
      </c>
    </row>
    <row r="691" spans="25:26">
      <c r="Y691" s="74" t="s">
        <v>570</v>
      </c>
      <c r="Z691" s="74">
        <f t="shared" si="22"/>
        <v>48761</v>
      </c>
    </row>
    <row r="692" spans="25:26">
      <c r="Y692" s="74" t="s">
        <v>571</v>
      </c>
      <c r="Z692" s="74">
        <f t="shared" si="22"/>
        <v>48768</v>
      </c>
    </row>
    <row r="693" spans="25:26">
      <c r="Y693" s="74" t="s">
        <v>572</v>
      </c>
      <c r="Z693" s="74">
        <f t="shared" si="22"/>
        <v>48775</v>
      </c>
    </row>
    <row r="694" spans="25:26">
      <c r="Y694" s="74" t="s">
        <v>573</v>
      </c>
      <c r="Z694" s="74">
        <f t="shared" si="22"/>
        <v>48783</v>
      </c>
    </row>
    <row r="695" spans="25:26">
      <c r="Y695" s="74" t="s">
        <v>574</v>
      </c>
      <c r="Z695" s="74">
        <f t="shared" si="22"/>
        <v>48792</v>
      </c>
    </row>
    <row r="696" spans="25:26">
      <c r="Y696" s="74" t="s">
        <v>575</v>
      </c>
      <c r="Z696" s="74">
        <f t="shared" si="22"/>
        <v>48799</v>
      </c>
    </row>
    <row r="697" spans="25:26">
      <c r="Y697" s="74" t="s">
        <v>576</v>
      </c>
      <c r="Z697" s="74">
        <f t="shared" si="22"/>
        <v>48806</v>
      </c>
    </row>
    <row r="698" spans="25:26">
      <c r="Y698" s="74" t="s">
        <v>577</v>
      </c>
      <c r="Z698" s="74">
        <f t="shared" si="22"/>
        <v>48814</v>
      </c>
    </row>
    <row r="699" spans="25:26">
      <c r="Y699" s="74" t="s">
        <v>578</v>
      </c>
      <c r="Z699" s="74">
        <f t="shared" si="22"/>
        <v>48823</v>
      </c>
    </row>
    <row r="700" spans="25:26">
      <c r="Y700" s="74" t="s">
        <v>579</v>
      </c>
      <c r="Z700" s="74">
        <f t="shared" si="22"/>
        <v>48830</v>
      </c>
    </row>
    <row r="701" spans="25:26">
      <c r="Y701" s="74" t="s">
        <v>580</v>
      </c>
      <c r="Z701" s="74">
        <f t="shared" si="22"/>
        <v>48837</v>
      </c>
    </row>
    <row r="702" spans="25:26">
      <c r="Y702" s="74" t="s">
        <v>581</v>
      </c>
      <c r="Z702" s="74">
        <f t="shared" si="22"/>
        <v>48845</v>
      </c>
    </row>
    <row r="703" spans="25:26">
      <c r="Y703" s="74" t="s">
        <v>582</v>
      </c>
      <c r="Z703" s="74">
        <f t="shared" si="22"/>
        <v>48853</v>
      </c>
    </row>
    <row r="704" spans="25:26">
      <c r="Y704" s="74" t="s">
        <v>583</v>
      </c>
      <c r="Z704" s="74">
        <f t="shared" si="22"/>
        <v>48860</v>
      </c>
    </row>
    <row r="705" spans="25:26">
      <c r="Y705" s="74" t="s">
        <v>584</v>
      </c>
      <c r="Z705" s="74">
        <f t="shared" si="22"/>
        <v>48867</v>
      </c>
    </row>
    <row r="706" spans="25:26">
      <c r="Y706" s="74" t="s">
        <v>585</v>
      </c>
      <c r="Z706" s="74">
        <f t="shared" si="22"/>
        <v>48875</v>
      </c>
    </row>
    <row r="707" spans="25:26">
      <c r="Y707" s="74" t="s">
        <v>586</v>
      </c>
      <c r="Z707" s="74">
        <f t="shared" si="22"/>
        <v>48884</v>
      </c>
    </row>
    <row r="708" spans="25:26">
      <c r="Y708" s="74" t="s">
        <v>587</v>
      </c>
      <c r="Z708" s="74">
        <f t="shared" si="22"/>
        <v>48891</v>
      </c>
    </row>
    <row r="709" spans="25:26">
      <c r="Y709" s="74" t="s">
        <v>588</v>
      </c>
      <c r="Z709" s="74">
        <f t="shared" si="22"/>
        <v>48898</v>
      </c>
    </row>
    <row r="710" spans="25:26">
      <c r="Y710" s="74" t="s">
        <v>589</v>
      </c>
      <c r="Z710" s="74">
        <f t="shared" si="22"/>
        <v>48906</v>
      </c>
    </row>
    <row r="711" spans="25:26">
      <c r="Y711" s="74" t="s">
        <v>590</v>
      </c>
      <c r="Z711" s="74">
        <f t="shared" si="22"/>
        <v>48914</v>
      </c>
    </row>
    <row r="712" spans="25:26">
      <c r="Y712" s="74" t="s">
        <v>591</v>
      </c>
      <c r="Z712" s="74">
        <f t="shared" si="22"/>
        <v>48921</v>
      </c>
    </row>
    <row r="713" spans="25:26">
      <c r="Y713" s="74" t="s">
        <v>592</v>
      </c>
      <c r="Z713" s="74">
        <f t="shared" si="22"/>
        <v>48928</v>
      </c>
    </row>
    <row r="714" spans="25:26">
      <c r="Y714" s="74" t="s">
        <v>593</v>
      </c>
      <c r="Z714" s="74">
        <f t="shared" si="22"/>
        <v>48936</v>
      </c>
    </row>
    <row r="715" spans="25:26">
      <c r="Y715" s="74" t="s">
        <v>594</v>
      </c>
      <c r="Z715" s="74">
        <f t="shared" si="22"/>
        <v>48945</v>
      </c>
    </row>
    <row r="716" spans="25:26">
      <c r="Y716" s="74" t="s">
        <v>595</v>
      </c>
      <c r="Z716" s="74">
        <f t="shared" si="22"/>
        <v>48952</v>
      </c>
    </row>
    <row r="717" spans="25:26">
      <c r="Y717" s="74" t="s">
        <v>596</v>
      </c>
      <c r="Z717" s="74">
        <f t="shared" si="22"/>
        <v>48959</v>
      </c>
    </row>
    <row r="718" spans="25:26">
      <c r="Y718" s="74" t="s">
        <v>597</v>
      </c>
      <c r="Z718" s="74">
        <f t="shared" si="22"/>
        <v>48967</v>
      </c>
    </row>
    <row r="719" spans="25:26">
      <c r="Y719" s="74" t="s">
        <v>598</v>
      </c>
      <c r="Z719" s="74">
        <f t="shared" si="22"/>
        <v>48976</v>
      </c>
    </row>
    <row r="720" spans="25:26">
      <c r="Y720" s="74" t="s">
        <v>599</v>
      </c>
      <c r="Z720" s="74">
        <f t="shared" si="22"/>
        <v>48983</v>
      </c>
    </row>
    <row r="721" spans="25:26">
      <c r="Y721" s="74" t="s">
        <v>600</v>
      </c>
      <c r="Z721" s="74">
        <f t="shared" si="22"/>
        <v>48990</v>
      </c>
    </row>
    <row r="722" spans="25:26">
      <c r="Y722" s="74" t="s">
        <v>601</v>
      </c>
      <c r="Z722" s="74">
        <f t="shared" si="22"/>
        <v>48998</v>
      </c>
    </row>
    <row r="723" spans="25:26">
      <c r="Y723" s="74" t="s">
        <v>602</v>
      </c>
      <c r="Z723" s="74">
        <f t="shared" si="22"/>
        <v>49004</v>
      </c>
    </row>
    <row r="724" spans="25:26">
      <c r="Y724" s="74" t="s">
        <v>603</v>
      </c>
      <c r="Z724" s="74">
        <f t="shared" si="22"/>
        <v>49011</v>
      </c>
    </row>
    <row r="725" spans="25:26">
      <c r="Y725" s="74" t="s">
        <v>604</v>
      </c>
      <c r="Z725" s="74">
        <f t="shared" si="22"/>
        <v>49018</v>
      </c>
    </row>
    <row r="726" spans="25:26">
      <c r="Y726" s="74" t="s">
        <v>605</v>
      </c>
      <c r="Z726" s="74">
        <f t="shared" si="22"/>
        <v>49026</v>
      </c>
    </row>
    <row r="727" spans="25:26">
      <c r="Y727" s="74" t="s">
        <v>606</v>
      </c>
      <c r="Z727" s="74">
        <f t="shared" si="22"/>
        <v>49035</v>
      </c>
    </row>
    <row r="728" spans="25:26">
      <c r="Y728" s="74" t="s">
        <v>607</v>
      </c>
      <c r="Z728" s="74">
        <f t="shared" si="22"/>
        <v>49042</v>
      </c>
    </row>
    <row r="729" spans="25:26">
      <c r="Y729" s="74" t="s">
        <v>608</v>
      </c>
      <c r="Z729" s="74">
        <f t="shared" si="22"/>
        <v>49049</v>
      </c>
    </row>
    <row r="730" spans="25:26">
      <c r="Y730" s="74" t="s">
        <v>609</v>
      </c>
      <c r="Z730" s="74">
        <f t="shared" si="22"/>
        <v>49057</v>
      </c>
    </row>
    <row r="731" spans="25:26">
      <c r="Y731" s="74" t="s">
        <v>610</v>
      </c>
      <c r="Z731" s="74">
        <f t="shared" ref="Z731:Z794" si="23">DATE(YEAR(Y731)+1/12,MONTH(Y731),DAY(Y731))</f>
        <v>49065</v>
      </c>
    </row>
    <row r="732" spans="25:26">
      <c r="Y732" s="74" t="s">
        <v>611</v>
      </c>
      <c r="Z732" s="74">
        <f t="shared" si="23"/>
        <v>49072</v>
      </c>
    </row>
    <row r="733" spans="25:26">
      <c r="Y733" s="74" t="s">
        <v>612</v>
      </c>
      <c r="Z733" s="74">
        <f t="shared" si="23"/>
        <v>49079</v>
      </c>
    </row>
    <row r="734" spans="25:26">
      <c r="Y734" s="74" t="s">
        <v>613</v>
      </c>
      <c r="Z734" s="74">
        <f t="shared" si="23"/>
        <v>49087</v>
      </c>
    </row>
    <row r="735" spans="25:26">
      <c r="Y735" s="74" t="s">
        <v>614</v>
      </c>
      <c r="Z735" s="74">
        <f t="shared" si="23"/>
        <v>49096</v>
      </c>
    </row>
    <row r="736" spans="25:26">
      <c r="Y736" s="74" t="s">
        <v>615</v>
      </c>
      <c r="Z736" s="74">
        <f t="shared" si="23"/>
        <v>49103</v>
      </c>
    </row>
    <row r="737" spans="25:26">
      <c r="Y737" s="74" t="s">
        <v>616</v>
      </c>
      <c r="Z737" s="74">
        <f t="shared" si="23"/>
        <v>49110</v>
      </c>
    </row>
    <row r="738" spans="25:26">
      <c r="Y738" s="74" t="s">
        <v>617</v>
      </c>
      <c r="Z738" s="74">
        <f t="shared" si="23"/>
        <v>49118</v>
      </c>
    </row>
    <row r="739" spans="25:26">
      <c r="Y739" s="74" t="s">
        <v>618</v>
      </c>
      <c r="Z739" s="74">
        <f t="shared" si="23"/>
        <v>49126</v>
      </c>
    </row>
    <row r="740" spans="25:26">
      <c r="Y740" s="74" t="s">
        <v>619</v>
      </c>
      <c r="Z740" s="74">
        <f t="shared" si="23"/>
        <v>49133</v>
      </c>
    </row>
    <row r="741" spans="25:26">
      <c r="Y741" s="74" t="s">
        <v>620</v>
      </c>
      <c r="Z741" s="74">
        <f t="shared" si="23"/>
        <v>49140</v>
      </c>
    </row>
    <row r="742" spans="25:26">
      <c r="Y742" s="74" t="s">
        <v>621</v>
      </c>
      <c r="Z742" s="74">
        <f t="shared" si="23"/>
        <v>49148</v>
      </c>
    </row>
    <row r="743" spans="25:26">
      <c r="Y743" s="74" t="s">
        <v>622</v>
      </c>
      <c r="Z743" s="74">
        <f t="shared" si="23"/>
        <v>49157</v>
      </c>
    </row>
    <row r="744" spans="25:26">
      <c r="Y744" s="74" t="s">
        <v>623</v>
      </c>
      <c r="Z744" s="74">
        <f t="shared" si="23"/>
        <v>49164</v>
      </c>
    </row>
    <row r="745" spans="25:26">
      <c r="Y745" s="74" t="s">
        <v>624</v>
      </c>
      <c r="Z745" s="74">
        <f t="shared" si="23"/>
        <v>49171</v>
      </c>
    </row>
    <row r="746" spans="25:26">
      <c r="Y746" s="74" t="s">
        <v>625</v>
      </c>
      <c r="Z746" s="74">
        <f t="shared" si="23"/>
        <v>49179</v>
      </c>
    </row>
    <row r="747" spans="25:26">
      <c r="Y747" s="74" t="s">
        <v>626</v>
      </c>
      <c r="Z747" s="74">
        <f t="shared" si="23"/>
        <v>49188</v>
      </c>
    </row>
    <row r="748" spans="25:26">
      <c r="Y748" s="74" t="s">
        <v>627</v>
      </c>
      <c r="Z748" s="74">
        <f t="shared" si="23"/>
        <v>49195</v>
      </c>
    </row>
    <row r="749" spans="25:26">
      <c r="Y749" s="74" t="s">
        <v>628</v>
      </c>
      <c r="Z749" s="74">
        <f t="shared" si="23"/>
        <v>49202</v>
      </c>
    </row>
    <row r="750" spans="25:26">
      <c r="Y750" s="74" t="s">
        <v>629</v>
      </c>
      <c r="Z750" s="74">
        <f t="shared" si="23"/>
        <v>49210</v>
      </c>
    </row>
    <row r="751" spans="25:26">
      <c r="Y751" s="74" t="s">
        <v>630</v>
      </c>
      <c r="Z751" s="74">
        <f t="shared" si="23"/>
        <v>49218</v>
      </c>
    </row>
    <row r="752" spans="25:26">
      <c r="Y752" s="74" t="s">
        <v>631</v>
      </c>
      <c r="Z752" s="74">
        <f t="shared" si="23"/>
        <v>49225</v>
      </c>
    </row>
    <row r="753" spans="25:26">
      <c r="Y753" s="74" t="s">
        <v>632</v>
      </c>
      <c r="Z753" s="74">
        <f t="shared" si="23"/>
        <v>49232</v>
      </c>
    </row>
    <row r="754" spans="25:26">
      <c r="Y754" s="74" t="s">
        <v>633</v>
      </c>
      <c r="Z754" s="74">
        <f t="shared" si="23"/>
        <v>49240</v>
      </c>
    </row>
    <row r="755" spans="25:26">
      <c r="Y755" s="74" t="s">
        <v>634</v>
      </c>
      <c r="Z755" s="74">
        <f t="shared" si="23"/>
        <v>49249</v>
      </c>
    </row>
    <row r="756" spans="25:26">
      <c r="Y756" s="74" t="s">
        <v>635</v>
      </c>
      <c r="Z756" s="74">
        <f t="shared" si="23"/>
        <v>49256</v>
      </c>
    </row>
    <row r="757" spans="25:26">
      <c r="Y757" s="74" t="s">
        <v>636</v>
      </c>
      <c r="Z757" s="74">
        <f t="shared" si="23"/>
        <v>49263</v>
      </c>
    </row>
    <row r="758" spans="25:26">
      <c r="Y758" s="74" t="s">
        <v>637</v>
      </c>
      <c r="Z758" s="74">
        <f t="shared" si="23"/>
        <v>49271</v>
      </c>
    </row>
    <row r="759" spans="25:26">
      <c r="Y759" s="74" t="s">
        <v>638</v>
      </c>
      <c r="Z759" s="74">
        <f t="shared" si="23"/>
        <v>49279</v>
      </c>
    </row>
    <row r="760" spans="25:26">
      <c r="Y760" s="74" t="s">
        <v>639</v>
      </c>
      <c r="Z760" s="74">
        <f t="shared" si="23"/>
        <v>49286</v>
      </c>
    </row>
    <row r="761" spans="25:26">
      <c r="Y761" s="74" t="s">
        <v>640</v>
      </c>
      <c r="Z761" s="74">
        <f t="shared" si="23"/>
        <v>49293</v>
      </c>
    </row>
    <row r="762" spans="25:26">
      <c r="Y762" s="74" t="s">
        <v>641</v>
      </c>
      <c r="Z762" s="74">
        <f t="shared" si="23"/>
        <v>49301</v>
      </c>
    </row>
    <row r="763" spans="25:26">
      <c r="Y763" s="74" t="s">
        <v>642</v>
      </c>
      <c r="Z763" s="74">
        <f t="shared" si="23"/>
        <v>49310</v>
      </c>
    </row>
    <row r="764" spans="25:26">
      <c r="Y764" s="74" t="s">
        <v>643</v>
      </c>
      <c r="Z764" s="74">
        <f t="shared" si="23"/>
        <v>49317</v>
      </c>
    </row>
    <row r="765" spans="25:26">
      <c r="Y765" s="74" t="s">
        <v>644</v>
      </c>
      <c r="Z765" s="74">
        <f t="shared" si="23"/>
        <v>49324</v>
      </c>
    </row>
    <row r="766" spans="25:26">
      <c r="Y766" s="74" t="s">
        <v>645</v>
      </c>
      <c r="Z766" s="74">
        <f t="shared" si="23"/>
        <v>49332</v>
      </c>
    </row>
    <row r="767" spans="25:26">
      <c r="Y767" s="74" t="s">
        <v>646</v>
      </c>
      <c r="Z767" s="74">
        <f t="shared" si="23"/>
        <v>49341</v>
      </c>
    </row>
    <row r="768" spans="25:26">
      <c r="Y768" s="74" t="s">
        <v>647</v>
      </c>
      <c r="Z768" s="74">
        <f t="shared" si="23"/>
        <v>49348</v>
      </c>
    </row>
    <row r="769" spans="25:26">
      <c r="Y769" s="74" t="s">
        <v>648</v>
      </c>
      <c r="Z769" s="74">
        <f t="shared" si="23"/>
        <v>49355</v>
      </c>
    </row>
    <row r="770" spans="25:26">
      <c r="Y770" s="74" t="s">
        <v>649</v>
      </c>
      <c r="Z770" s="74">
        <f t="shared" si="23"/>
        <v>49363</v>
      </c>
    </row>
    <row r="771" spans="25:26">
      <c r="Y771" s="74" t="s">
        <v>650</v>
      </c>
      <c r="Z771" s="74">
        <f t="shared" si="23"/>
        <v>49369</v>
      </c>
    </row>
    <row r="772" spans="25:26">
      <c r="Y772" s="74" t="s">
        <v>651</v>
      </c>
      <c r="Z772" s="74">
        <f t="shared" si="23"/>
        <v>49376</v>
      </c>
    </row>
    <row r="773" spans="25:26">
      <c r="Y773" s="74" t="s">
        <v>652</v>
      </c>
      <c r="Z773" s="74">
        <f t="shared" si="23"/>
        <v>49383</v>
      </c>
    </row>
    <row r="774" spans="25:26">
      <c r="Y774" s="74" t="s">
        <v>653</v>
      </c>
      <c r="Z774" s="74">
        <f t="shared" si="23"/>
        <v>49391</v>
      </c>
    </row>
    <row r="775" spans="25:26">
      <c r="Y775" s="74" t="s">
        <v>654</v>
      </c>
      <c r="Z775" s="74">
        <f t="shared" si="23"/>
        <v>49400</v>
      </c>
    </row>
    <row r="776" spans="25:26">
      <c r="Y776" s="74" t="s">
        <v>655</v>
      </c>
      <c r="Z776" s="74">
        <f t="shared" si="23"/>
        <v>49407</v>
      </c>
    </row>
    <row r="777" spans="25:26">
      <c r="Y777" s="74" t="s">
        <v>656</v>
      </c>
      <c r="Z777" s="74">
        <f t="shared" si="23"/>
        <v>49414</v>
      </c>
    </row>
    <row r="778" spans="25:26">
      <c r="Y778" s="74" t="s">
        <v>657</v>
      </c>
      <c r="Z778" s="74">
        <f t="shared" si="23"/>
        <v>49422</v>
      </c>
    </row>
    <row r="779" spans="25:26">
      <c r="Y779" s="74" t="s">
        <v>658</v>
      </c>
      <c r="Z779" s="74">
        <f t="shared" si="23"/>
        <v>49430</v>
      </c>
    </row>
    <row r="780" spans="25:26">
      <c r="Y780" s="74" t="s">
        <v>659</v>
      </c>
      <c r="Z780" s="74">
        <f t="shared" si="23"/>
        <v>49437</v>
      </c>
    </row>
    <row r="781" spans="25:26">
      <c r="Y781" s="74" t="s">
        <v>660</v>
      </c>
      <c r="Z781" s="74">
        <f t="shared" si="23"/>
        <v>49444</v>
      </c>
    </row>
    <row r="782" spans="25:26">
      <c r="Y782" s="74" t="s">
        <v>661</v>
      </c>
      <c r="Z782" s="74">
        <f t="shared" si="23"/>
        <v>49452</v>
      </c>
    </row>
    <row r="783" spans="25:26">
      <c r="Y783" s="74" t="s">
        <v>662</v>
      </c>
      <c r="Z783" s="74">
        <f t="shared" si="23"/>
        <v>49461</v>
      </c>
    </row>
    <row r="784" spans="25:26">
      <c r="Y784" s="74" t="s">
        <v>663</v>
      </c>
      <c r="Z784" s="74">
        <f t="shared" si="23"/>
        <v>49468</v>
      </c>
    </row>
    <row r="785" spans="25:26">
      <c r="Y785" s="74" t="s">
        <v>664</v>
      </c>
      <c r="Z785" s="74">
        <f t="shared" si="23"/>
        <v>49475</v>
      </c>
    </row>
    <row r="786" spans="25:26">
      <c r="Y786" s="74" t="s">
        <v>665</v>
      </c>
      <c r="Z786" s="74">
        <f t="shared" si="23"/>
        <v>49483</v>
      </c>
    </row>
    <row r="787" spans="25:26">
      <c r="Y787" s="74" t="s">
        <v>666</v>
      </c>
      <c r="Z787" s="74">
        <f t="shared" si="23"/>
        <v>49491</v>
      </c>
    </row>
    <row r="788" spans="25:26">
      <c r="Y788" s="74" t="s">
        <v>667</v>
      </c>
      <c r="Z788" s="74">
        <f t="shared" si="23"/>
        <v>49498</v>
      </c>
    </row>
    <row r="789" spans="25:26">
      <c r="Y789" s="74" t="s">
        <v>668</v>
      </c>
      <c r="Z789" s="74">
        <f t="shared" si="23"/>
        <v>49505</v>
      </c>
    </row>
    <row r="790" spans="25:26">
      <c r="Y790" s="74" t="s">
        <v>669</v>
      </c>
      <c r="Z790" s="74">
        <f t="shared" si="23"/>
        <v>49513</v>
      </c>
    </row>
    <row r="791" spans="25:26">
      <c r="Y791" s="74" t="s">
        <v>670</v>
      </c>
      <c r="Z791" s="74">
        <f t="shared" si="23"/>
        <v>49522</v>
      </c>
    </row>
    <row r="792" spans="25:26">
      <c r="Y792" s="74" t="s">
        <v>671</v>
      </c>
      <c r="Z792" s="74">
        <f t="shared" si="23"/>
        <v>49529</v>
      </c>
    </row>
    <row r="793" spans="25:26">
      <c r="Y793" s="74" t="s">
        <v>672</v>
      </c>
      <c r="Z793" s="74">
        <f t="shared" si="23"/>
        <v>49536</v>
      </c>
    </row>
    <row r="794" spans="25:26">
      <c r="Y794" s="74" t="s">
        <v>673</v>
      </c>
      <c r="Z794" s="74">
        <f t="shared" si="23"/>
        <v>49544</v>
      </c>
    </row>
    <row r="795" spans="25:26">
      <c r="Y795" s="74" t="s">
        <v>674</v>
      </c>
      <c r="Z795" s="74">
        <f t="shared" ref="Z795:Z858" si="24">DATE(YEAR(Y795)+1/12,MONTH(Y795),DAY(Y795))</f>
        <v>49553</v>
      </c>
    </row>
    <row r="796" spans="25:26">
      <c r="Y796" s="74" t="s">
        <v>675</v>
      </c>
      <c r="Z796" s="74">
        <f t="shared" si="24"/>
        <v>49560</v>
      </c>
    </row>
    <row r="797" spans="25:26">
      <c r="Y797" s="74" t="s">
        <v>676</v>
      </c>
      <c r="Z797" s="74">
        <f t="shared" si="24"/>
        <v>49567</v>
      </c>
    </row>
    <row r="798" spans="25:26">
      <c r="Y798" s="74" t="s">
        <v>677</v>
      </c>
      <c r="Z798" s="74">
        <f t="shared" si="24"/>
        <v>49575</v>
      </c>
    </row>
    <row r="799" spans="25:26">
      <c r="Y799" s="74" t="s">
        <v>678</v>
      </c>
      <c r="Z799" s="74">
        <f t="shared" si="24"/>
        <v>49583</v>
      </c>
    </row>
    <row r="800" spans="25:26">
      <c r="Y800" s="74" t="s">
        <v>679</v>
      </c>
      <c r="Z800" s="74">
        <f t="shared" si="24"/>
        <v>49590</v>
      </c>
    </row>
    <row r="801" spans="25:26">
      <c r="Y801" s="74" t="s">
        <v>680</v>
      </c>
      <c r="Z801" s="74">
        <f t="shared" si="24"/>
        <v>49597</v>
      </c>
    </row>
    <row r="802" spans="25:26">
      <c r="Y802" s="74" t="s">
        <v>681</v>
      </c>
      <c r="Z802" s="74">
        <f t="shared" si="24"/>
        <v>49605</v>
      </c>
    </row>
    <row r="803" spans="25:26">
      <c r="Y803" s="74" t="s">
        <v>682</v>
      </c>
      <c r="Z803" s="74">
        <f t="shared" si="24"/>
        <v>49614</v>
      </c>
    </row>
    <row r="804" spans="25:26">
      <c r="Y804" s="74" t="s">
        <v>683</v>
      </c>
      <c r="Z804" s="74">
        <f t="shared" si="24"/>
        <v>49621</v>
      </c>
    </row>
    <row r="805" spans="25:26">
      <c r="Y805" s="74" t="s">
        <v>684</v>
      </c>
      <c r="Z805" s="74">
        <f t="shared" si="24"/>
        <v>49628</v>
      </c>
    </row>
    <row r="806" spans="25:26">
      <c r="Y806" s="74" t="s">
        <v>685</v>
      </c>
      <c r="Z806" s="74">
        <f t="shared" si="24"/>
        <v>49636</v>
      </c>
    </row>
    <row r="807" spans="25:26">
      <c r="Y807" s="74" t="s">
        <v>686</v>
      </c>
      <c r="Z807" s="74">
        <f t="shared" si="24"/>
        <v>49644</v>
      </c>
    </row>
    <row r="808" spans="25:26">
      <c r="Y808" s="74" t="s">
        <v>687</v>
      </c>
      <c r="Z808" s="74">
        <f t="shared" si="24"/>
        <v>49651</v>
      </c>
    </row>
    <row r="809" spans="25:26">
      <c r="Y809" s="74" t="s">
        <v>688</v>
      </c>
      <c r="Z809" s="74">
        <f t="shared" si="24"/>
        <v>49658</v>
      </c>
    </row>
    <row r="810" spans="25:26">
      <c r="Y810" s="74" t="s">
        <v>689</v>
      </c>
      <c r="Z810" s="74">
        <f t="shared" si="24"/>
        <v>49666</v>
      </c>
    </row>
    <row r="811" spans="25:26">
      <c r="Y811" s="74" t="s">
        <v>690</v>
      </c>
      <c r="Z811" s="74">
        <f t="shared" si="24"/>
        <v>49675</v>
      </c>
    </row>
    <row r="812" spans="25:26">
      <c r="Y812" s="74" t="s">
        <v>691</v>
      </c>
      <c r="Z812" s="74">
        <f t="shared" si="24"/>
        <v>49682</v>
      </c>
    </row>
    <row r="813" spans="25:26">
      <c r="Y813" s="74" t="s">
        <v>692</v>
      </c>
      <c r="Z813" s="74">
        <f t="shared" si="24"/>
        <v>49689</v>
      </c>
    </row>
    <row r="814" spans="25:26">
      <c r="Y814" s="74" t="s">
        <v>693</v>
      </c>
      <c r="Z814" s="74">
        <f t="shared" si="24"/>
        <v>49697</v>
      </c>
    </row>
    <row r="815" spans="25:26">
      <c r="Y815" s="74" t="s">
        <v>694</v>
      </c>
      <c r="Z815" s="74">
        <f t="shared" si="24"/>
        <v>49706</v>
      </c>
    </row>
    <row r="816" spans="25:26">
      <c r="Y816" s="74" t="s">
        <v>695</v>
      </c>
      <c r="Z816" s="74">
        <f t="shared" si="24"/>
        <v>49713</v>
      </c>
    </row>
    <row r="817" spans="25:26">
      <c r="Y817" s="74" t="s">
        <v>696</v>
      </c>
      <c r="Z817" s="74">
        <f t="shared" si="24"/>
        <v>49720</v>
      </c>
    </row>
    <row r="818" spans="25:26">
      <c r="Y818" s="74" t="s">
        <v>697</v>
      </c>
      <c r="Z818" s="74">
        <f t="shared" si="24"/>
        <v>49728</v>
      </c>
    </row>
    <row r="819" spans="25:26">
      <c r="Y819" s="74" t="s">
        <v>698</v>
      </c>
      <c r="Z819" s="74">
        <f t="shared" si="24"/>
        <v>49735</v>
      </c>
    </row>
    <row r="820" spans="25:26">
      <c r="Y820" s="74" t="s">
        <v>699</v>
      </c>
      <c r="Z820" s="74">
        <f t="shared" si="24"/>
        <v>49742</v>
      </c>
    </row>
    <row r="821" spans="25:26">
      <c r="Y821" s="74" t="s">
        <v>700</v>
      </c>
      <c r="Z821" s="74">
        <f t="shared" si="24"/>
        <v>49749</v>
      </c>
    </row>
    <row r="822" spans="25:26">
      <c r="Y822" s="74" t="s">
        <v>701</v>
      </c>
      <c r="Z822" s="74">
        <f t="shared" si="24"/>
        <v>49757</v>
      </c>
    </row>
    <row r="823" spans="25:26">
      <c r="Y823" s="74" t="s">
        <v>702</v>
      </c>
      <c r="Z823" s="74">
        <f t="shared" si="24"/>
        <v>49766</v>
      </c>
    </row>
    <row r="824" spans="25:26">
      <c r="Y824" s="74" t="s">
        <v>703</v>
      </c>
      <c r="Z824" s="74">
        <f t="shared" si="24"/>
        <v>49773</v>
      </c>
    </row>
    <row r="825" spans="25:26">
      <c r="Y825" s="74" t="s">
        <v>704</v>
      </c>
      <c r="Z825" s="74">
        <f t="shared" si="24"/>
        <v>49780</v>
      </c>
    </row>
    <row r="826" spans="25:26">
      <c r="Y826" s="74" t="s">
        <v>705</v>
      </c>
      <c r="Z826" s="74">
        <f t="shared" si="24"/>
        <v>49788</v>
      </c>
    </row>
    <row r="827" spans="25:26">
      <c r="Y827" s="74" t="s">
        <v>706</v>
      </c>
      <c r="Z827" s="74">
        <f t="shared" si="24"/>
        <v>49796</v>
      </c>
    </row>
    <row r="828" spans="25:26">
      <c r="Y828" s="74" t="s">
        <v>707</v>
      </c>
      <c r="Z828" s="74">
        <f t="shared" si="24"/>
        <v>49803</v>
      </c>
    </row>
    <row r="829" spans="25:26">
      <c r="Y829" s="74" t="s">
        <v>708</v>
      </c>
      <c r="Z829" s="74">
        <f t="shared" si="24"/>
        <v>49810</v>
      </c>
    </row>
    <row r="830" spans="25:26">
      <c r="Y830" s="74" t="s">
        <v>709</v>
      </c>
      <c r="Z830" s="74">
        <f t="shared" si="24"/>
        <v>49818</v>
      </c>
    </row>
    <row r="831" spans="25:26">
      <c r="Y831" s="74" t="s">
        <v>710</v>
      </c>
      <c r="Z831" s="74">
        <f t="shared" si="24"/>
        <v>49827</v>
      </c>
    </row>
    <row r="832" spans="25:26">
      <c r="Y832" s="74" t="s">
        <v>711</v>
      </c>
      <c r="Z832" s="74">
        <f t="shared" si="24"/>
        <v>49834</v>
      </c>
    </row>
    <row r="833" spans="25:26">
      <c r="Y833" s="74" t="s">
        <v>712</v>
      </c>
      <c r="Z833" s="74">
        <f t="shared" si="24"/>
        <v>49841</v>
      </c>
    </row>
    <row r="834" spans="25:26">
      <c r="Y834" s="74" t="s">
        <v>713</v>
      </c>
      <c r="Z834" s="74">
        <f t="shared" si="24"/>
        <v>49849</v>
      </c>
    </row>
    <row r="835" spans="25:26">
      <c r="Y835" s="74" t="s">
        <v>714</v>
      </c>
      <c r="Z835" s="74">
        <f t="shared" si="24"/>
        <v>49857</v>
      </c>
    </row>
    <row r="836" spans="25:26">
      <c r="Y836" s="74" t="s">
        <v>715</v>
      </c>
      <c r="Z836" s="74">
        <f t="shared" si="24"/>
        <v>49864</v>
      </c>
    </row>
    <row r="837" spans="25:26">
      <c r="Y837" s="74" t="s">
        <v>716</v>
      </c>
      <c r="Z837" s="74">
        <f t="shared" si="24"/>
        <v>49871</v>
      </c>
    </row>
    <row r="838" spans="25:26">
      <c r="Y838" s="74" t="s">
        <v>717</v>
      </c>
      <c r="Z838" s="74">
        <f t="shared" si="24"/>
        <v>49879</v>
      </c>
    </row>
    <row r="839" spans="25:26">
      <c r="Y839" s="74" t="s">
        <v>718</v>
      </c>
      <c r="Z839" s="74">
        <f t="shared" si="24"/>
        <v>49888</v>
      </c>
    </row>
    <row r="840" spans="25:26">
      <c r="Y840" s="74" t="s">
        <v>719</v>
      </c>
      <c r="Z840" s="74">
        <f t="shared" si="24"/>
        <v>49895</v>
      </c>
    </row>
    <row r="841" spans="25:26">
      <c r="Y841" s="74" t="s">
        <v>720</v>
      </c>
      <c r="Z841" s="74">
        <f t="shared" si="24"/>
        <v>49902</v>
      </c>
    </row>
    <row r="842" spans="25:26">
      <c r="Y842" s="74" t="s">
        <v>721</v>
      </c>
      <c r="Z842" s="74">
        <f t="shared" si="24"/>
        <v>49910</v>
      </c>
    </row>
    <row r="843" spans="25:26">
      <c r="Y843" s="74" t="s">
        <v>722</v>
      </c>
      <c r="Z843" s="74">
        <f t="shared" si="24"/>
        <v>49919</v>
      </c>
    </row>
    <row r="844" spans="25:26">
      <c r="Y844" s="74" t="s">
        <v>723</v>
      </c>
      <c r="Z844" s="74">
        <f t="shared" si="24"/>
        <v>49926</v>
      </c>
    </row>
    <row r="845" spans="25:26">
      <c r="Y845" s="74" t="s">
        <v>724</v>
      </c>
      <c r="Z845" s="74">
        <f t="shared" si="24"/>
        <v>49933</v>
      </c>
    </row>
    <row r="846" spans="25:26">
      <c r="Y846" s="74" t="s">
        <v>725</v>
      </c>
      <c r="Z846" s="74">
        <f t="shared" si="24"/>
        <v>49941</v>
      </c>
    </row>
    <row r="847" spans="25:26">
      <c r="Y847" s="74" t="s">
        <v>726</v>
      </c>
      <c r="Z847" s="74">
        <f t="shared" si="24"/>
        <v>49949</v>
      </c>
    </row>
    <row r="848" spans="25:26">
      <c r="Y848" s="74" t="s">
        <v>727</v>
      </c>
      <c r="Z848" s="74">
        <f t="shared" si="24"/>
        <v>49956</v>
      </c>
    </row>
    <row r="849" spans="25:26">
      <c r="Y849" s="74" t="s">
        <v>728</v>
      </c>
      <c r="Z849" s="74">
        <f t="shared" si="24"/>
        <v>49963</v>
      </c>
    </row>
    <row r="850" spans="25:26">
      <c r="Y850" s="74" t="s">
        <v>729</v>
      </c>
      <c r="Z850" s="74">
        <f t="shared" si="24"/>
        <v>49971</v>
      </c>
    </row>
    <row r="851" spans="25:26">
      <c r="Y851" s="74" t="s">
        <v>730</v>
      </c>
      <c r="Z851" s="74">
        <f t="shared" si="24"/>
        <v>49980</v>
      </c>
    </row>
    <row r="852" spans="25:26">
      <c r="Y852" s="74" t="s">
        <v>731</v>
      </c>
      <c r="Z852" s="74">
        <f t="shared" si="24"/>
        <v>49987</v>
      </c>
    </row>
    <row r="853" spans="25:26">
      <c r="Y853" s="74" t="s">
        <v>732</v>
      </c>
      <c r="Z853" s="74">
        <f t="shared" si="24"/>
        <v>49994</v>
      </c>
    </row>
    <row r="854" spans="25:26">
      <c r="Y854" s="74" t="s">
        <v>733</v>
      </c>
      <c r="Z854" s="74">
        <f t="shared" si="24"/>
        <v>50002</v>
      </c>
    </row>
    <row r="855" spans="25:26">
      <c r="Y855" s="74" t="s">
        <v>734</v>
      </c>
      <c r="Z855" s="74">
        <f t="shared" si="24"/>
        <v>50010</v>
      </c>
    </row>
    <row r="856" spans="25:26">
      <c r="Y856" s="74" t="s">
        <v>735</v>
      </c>
      <c r="Z856" s="74">
        <f t="shared" si="24"/>
        <v>50017</v>
      </c>
    </row>
    <row r="857" spans="25:26">
      <c r="Y857" s="74" t="s">
        <v>736</v>
      </c>
      <c r="Z857" s="74">
        <f t="shared" si="24"/>
        <v>50024</v>
      </c>
    </row>
    <row r="858" spans="25:26">
      <c r="Y858" s="74" t="s">
        <v>737</v>
      </c>
      <c r="Z858" s="74">
        <f t="shared" si="24"/>
        <v>50032</v>
      </c>
    </row>
    <row r="859" spans="25:26">
      <c r="Y859" s="74" t="s">
        <v>738</v>
      </c>
      <c r="Z859" s="74">
        <f t="shared" ref="Z859:Z922" si="25">DATE(YEAR(Y859)+1/12,MONTH(Y859),DAY(Y859))</f>
        <v>50041</v>
      </c>
    </row>
    <row r="860" spans="25:26">
      <c r="Y860" s="74" t="s">
        <v>739</v>
      </c>
      <c r="Z860" s="74">
        <f t="shared" si="25"/>
        <v>50048</v>
      </c>
    </row>
    <row r="861" spans="25:26">
      <c r="Y861" s="74" t="s">
        <v>740</v>
      </c>
      <c r="Z861" s="74">
        <f t="shared" si="25"/>
        <v>50055</v>
      </c>
    </row>
    <row r="862" spans="25:26">
      <c r="Y862" s="74" t="s">
        <v>741</v>
      </c>
      <c r="Z862" s="74">
        <f t="shared" si="25"/>
        <v>50063</v>
      </c>
    </row>
    <row r="863" spans="25:26">
      <c r="Y863" s="74" t="s">
        <v>742</v>
      </c>
      <c r="Z863" s="74">
        <f t="shared" si="25"/>
        <v>50072</v>
      </c>
    </row>
    <row r="864" spans="25:26">
      <c r="Y864" s="74" t="s">
        <v>743</v>
      </c>
      <c r="Z864" s="74">
        <f t="shared" si="25"/>
        <v>50079</v>
      </c>
    </row>
    <row r="865" spans="25:26">
      <c r="Y865" s="74" t="s">
        <v>744</v>
      </c>
      <c r="Z865" s="74">
        <f t="shared" si="25"/>
        <v>50086</v>
      </c>
    </row>
    <row r="866" spans="25:26">
      <c r="Y866" s="74" t="s">
        <v>745</v>
      </c>
      <c r="Z866" s="74">
        <f t="shared" si="25"/>
        <v>50094</v>
      </c>
    </row>
    <row r="867" spans="25:26">
      <c r="Y867" s="74" t="s">
        <v>746</v>
      </c>
      <c r="Z867" s="74">
        <f t="shared" si="25"/>
        <v>50100</v>
      </c>
    </row>
    <row r="868" spans="25:26">
      <c r="Y868" s="74" t="s">
        <v>747</v>
      </c>
      <c r="Z868" s="74">
        <f t="shared" si="25"/>
        <v>50107</v>
      </c>
    </row>
    <row r="869" spans="25:26">
      <c r="Y869" s="74" t="s">
        <v>748</v>
      </c>
      <c r="Z869" s="74">
        <f t="shared" si="25"/>
        <v>50114</v>
      </c>
    </row>
    <row r="870" spans="25:26">
      <c r="Y870" s="74" t="s">
        <v>749</v>
      </c>
      <c r="Z870" s="74">
        <f t="shared" si="25"/>
        <v>50122</v>
      </c>
    </row>
    <row r="871" spans="25:26">
      <c r="Y871" s="74" t="s">
        <v>750</v>
      </c>
      <c r="Z871" s="74">
        <f t="shared" si="25"/>
        <v>50131</v>
      </c>
    </row>
    <row r="872" spans="25:26">
      <c r="Y872" s="74" t="s">
        <v>751</v>
      </c>
      <c r="Z872" s="74">
        <f t="shared" si="25"/>
        <v>50138</v>
      </c>
    </row>
    <row r="873" spans="25:26">
      <c r="Y873" s="74" t="s">
        <v>752</v>
      </c>
      <c r="Z873" s="74">
        <f t="shared" si="25"/>
        <v>50145</v>
      </c>
    </row>
    <row r="874" spans="25:26">
      <c r="Y874" s="74" t="s">
        <v>753</v>
      </c>
      <c r="Z874" s="74">
        <f t="shared" si="25"/>
        <v>50153</v>
      </c>
    </row>
    <row r="875" spans="25:26">
      <c r="Y875" s="74" t="s">
        <v>754</v>
      </c>
      <c r="Z875" s="74">
        <f t="shared" si="25"/>
        <v>50161</v>
      </c>
    </row>
    <row r="876" spans="25:26">
      <c r="Y876" s="74" t="s">
        <v>755</v>
      </c>
      <c r="Z876" s="74">
        <f t="shared" si="25"/>
        <v>50168</v>
      </c>
    </row>
    <row r="877" spans="25:26">
      <c r="Y877" s="74" t="s">
        <v>756</v>
      </c>
      <c r="Z877" s="74">
        <f t="shared" si="25"/>
        <v>50175</v>
      </c>
    </row>
    <row r="878" spans="25:26">
      <c r="Y878" s="74" t="s">
        <v>757</v>
      </c>
      <c r="Z878" s="74">
        <f t="shared" si="25"/>
        <v>50183</v>
      </c>
    </row>
    <row r="879" spans="25:26">
      <c r="Y879" s="74" t="s">
        <v>758</v>
      </c>
      <c r="Z879" s="74">
        <f t="shared" si="25"/>
        <v>50192</v>
      </c>
    </row>
    <row r="880" spans="25:26">
      <c r="Y880" s="74" t="s">
        <v>759</v>
      </c>
      <c r="Z880" s="74">
        <f t="shared" si="25"/>
        <v>50199</v>
      </c>
    </row>
    <row r="881" spans="25:26">
      <c r="Y881" s="74" t="s">
        <v>760</v>
      </c>
      <c r="Z881" s="74">
        <f t="shared" si="25"/>
        <v>50206</v>
      </c>
    </row>
    <row r="882" spans="25:26">
      <c r="Y882" s="74" t="s">
        <v>761</v>
      </c>
      <c r="Z882" s="74">
        <f t="shared" si="25"/>
        <v>50214</v>
      </c>
    </row>
    <row r="883" spans="25:26">
      <c r="Y883" s="74" t="s">
        <v>762</v>
      </c>
      <c r="Z883" s="74">
        <f t="shared" si="25"/>
        <v>50222</v>
      </c>
    </row>
    <row r="884" spans="25:26">
      <c r="Y884" s="74" t="s">
        <v>763</v>
      </c>
      <c r="Z884" s="74">
        <f t="shared" si="25"/>
        <v>50229</v>
      </c>
    </row>
    <row r="885" spans="25:26">
      <c r="Y885" s="74" t="s">
        <v>764</v>
      </c>
      <c r="Z885" s="74">
        <f t="shared" si="25"/>
        <v>50236</v>
      </c>
    </row>
    <row r="886" spans="25:26">
      <c r="Y886" s="74" t="s">
        <v>765</v>
      </c>
      <c r="Z886" s="74">
        <f t="shared" si="25"/>
        <v>50244</v>
      </c>
    </row>
    <row r="887" spans="25:26">
      <c r="Y887" s="74" t="s">
        <v>766</v>
      </c>
      <c r="Z887" s="74">
        <f t="shared" si="25"/>
        <v>50253</v>
      </c>
    </row>
    <row r="888" spans="25:26">
      <c r="Y888" s="74" t="s">
        <v>767</v>
      </c>
      <c r="Z888" s="74">
        <f t="shared" si="25"/>
        <v>50260</v>
      </c>
    </row>
    <row r="889" spans="25:26">
      <c r="Y889" s="74" t="s">
        <v>768</v>
      </c>
      <c r="Z889" s="74">
        <f t="shared" si="25"/>
        <v>50267</v>
      </c>
    </row>
    <row r="890" spans="25:26">
      <c r="Y890" s="74" t="s">
        <v>769</v>
      </c>
      <c r="Z890" s="74">
        <f t="shared" si="25"/>
        <v>50275</v>
      </c>
    </row>
    <row r="891" spans="25:26">
      <c r="Y891" s="74" t="s">
        <v>770</v>
      </c>
      <c r="Z891" s="74">
        <f t="shared" si="25"/>
        <v>50284</v>
      </c>
    </row>
    <row r="892" spans="25:26">
      <c r="Y892" s="74" t="s">
        <v>771</v>
      </c>
      <c r="Z892" s="74">
        <f t="shared" si="25"/>
        <v>50291</v>
      </c>
    </row>
    <row r="893" spans="25:26">
      <c r="Y893" s="74" t="s">
        <v>772</v>
      </c>
      <c r="Z893" s="74">
        <f t="shared" si="25"/>
        <v>50298</v>
      </c>
    </row>
    <row r="894" spans="25:26">
      <c r="Y894" s="74" t="s">
        <v>773</v>
      </c>
      <c r="Z894" s="74">
        <f t="shared" si="25"/>
        <v>50306</v>
      </c>
    </row>
    <row r="895" spans="25:26">
      <c r="Y895" s="74" t="s">
        <v>774</v>
      </c>
      <c r="Z895" s="74">
        <f t="shared" si="25"/>
        <v>50314</v>
      </c>
    </row>
    <row r="896" spans="25:26">
      <c r="Y896" s="74" t="s">
        <v>775</v>
      </c>
      <c r="Z896" s="74">
        <f t="shared" si="25"/>
        <v>50321</v>
      </c>
    </row>
    <row r="897" spans="25:26">
      <c r="Y897" s="74" t="s">
        <v>776</v>
      </c>
      <c r="Z897" s="74">
        <f t="shared" si="25"/>
        <v>50328</v>
      </c>
    </row>
    <row r="898" spans="25:26">
      <c r="Y898" s="74" t="s">
        <v>777</v>
      </c>
      <c r="Z898" s="74">
        <f t="shared" si="25"/>
        <v>50336</v>
      </c>
    </row>
    <row r="899" spans="25:26">
      <c r="Y899" s="74" t="s">
        <v>778</v>
      </c>
      <c r="Z899" s="74">
        <f t="shared" si="25"/>
        <v>50345</v>
      </c>
    </row>
    <row r="900" spans="25:26">
      <c r="Y900" s="74" t="s">
        <v>779</v>
      </c>
      <c r="Z900" s="74">
        <f t="shared" si="25"/>
        <v>50352</v>
      </c>
    </row>
    <row r="901" spans="25:26">
      <c r="Y901" s="74" t="s">
        <v>780</v>
      </c>
      <c r="Z901" s="74">
        <f t="shared" si="25"/>
        <v>50359</v>
      </c>
    </row>
    <row r="902" spans="25:26">
      <c r="Y902" s="74" t="s">
        <v>781</v>
      </c>
      <c r="Z902" s="74">
        <f t="shared" si="25"/>
        <v>50367</v>
      </c>
    </row>
    <row r="903" spans="25:26">
      <c r="Y903" s="74" t="s">
        <v>782</v>
      </c>
      <c r="Z903" s="74">
        <f t="shared" si="25"/>
        <v>50375</v>
      </c>
    </row>
    <row r="904" spans="25:26">
      <c r="Y904" s="74" t="s">
        <v>783</v>
      </c>
      <c r="Z904" s="74">
        <f t="shared" si="25"/>
        <v>50382</v>
      </c>
    </row>
    <row r="905" spans="25:26">
      <c r="Y905" s="74" t="s">
        <v>784</v>
      </c>
      <c r="Z905" s="74">
        <f t="shared" si="25"/>
        <v>50389</v>
      </c>
    </row>
    <row r="906" spans="25:26">
      <c r="Y906" s="74" t="s">
        <v>785</v>
      </c>
      <c r="Z906" s="74">
        <f t="shared" si="25"/>
        <v>50397</v>
      </c>
    </row>
    <row r="907" spans="25:26">
      <c r="Y907" s="74" t="s">
        <v>786</v>
      </c>
      <c r="Z907" s="74">
        <f t="shared" si="25"/>
        <v>50406</v>
      </c>
    </row>
    <row r="908" spans="25:26">
      <c r="Y908" s="74" t="s">
        <v>787</v>
      </c>
      <c r="Z908" s="74">
        <f t="shared" si="25"/>
        <v>50413</v>
      </c>
    </row>
    <row r="909" spans="25:26">
      <c r="Y909" s="74" t="s">
        <v>788</v>
      </c>
      <c r="Z909" s="74">
        <f t="shared" si="25"/>
        <v>50420</v>
      </c>
    </row>
    <row r="910" spans="25:26">
      <c r="Y910" s="74" t="s">
        <v>789</v>
      </c>
      <c r="Z910" s="74">
        <f t="shared" si="25"/>
        <v>50428</v>
      </c>
    </row>
    <row r="911" spans="25:26">
      <c r="Y911" s="74" t="s">
        <v>790</v>
      </c>
      <c r="Z911" s="74">
        <f t="shared" si="25"/>
        <v>50437</v>
      </c>
    </row>
    <row r="912" spans="25:26">
      <c r="Y912" s="74" t="s">
        <v>791</v>
      </c>
      <c r="Z912" s="74">
        <f t="shared" si="25"/>
        <v>50444</v>
      </c>
    </row>
    <row r="913" spans="25:26">
      <c r="Y913" s="74" t="s">
        <v>792</v>
      </c>
      <c r="Z913" s="74">
        <f t="shared" si="25"/>
        <v>50451</v>
      </c>
    </row>
    <row r="914" spans="25:26">
      <c r="Y914" s="74" t="s">
        <v>793</v>
      </c>
      <c r="Z914" s="74">
        <f t="shared" si="25"/>
        <v>50459</v>
      </c>
    </row>
    <row r="915" spans="25:26">
      <c r="Y915" s="74" t="s">
        <v>794</v>
      </c>
      <c r="Z915" s="74">
        <f t="shared" si="25"/>
        <v>50465</v>
      </c>
    </row>
    <row r="916" spans="25:26">
      <c r="Y916" s="74" t="s">
        <v>795</v>
      </c>
      <c r="Z916" s="74">
        <f t="shared" si="25"/>
        <v>50472</v>
      </c>
    </row>
    <row r="917" spans="25:26">
      <c r="Y917" s="74" t="s">
        <v>796</v>
      </c>
      <c r="Z917" s="74">
        <f t="shared" si="25"/>
        <v>50479</v>
      </c>
    </row>
    <row r="918" spans="25:26">
      <c r="Y918" s="74" t="s">
        <v>797</v>
      </c>
      <c r="Z918" s="74">
        <f t="shared" si="25"/>
        <v>50487</v>
      </c>
    </row>
    <row r="919" spans="25:26">
      <c r="Y919" s="74" t="s">
        <v>798</v>
      </c>
      <c r="Z919" s="74">
        <f t="shared" si="25"/>
        <v>50496</v>
      </c>
    </row>
    <row r="920" spans="25:26">
      <c r="Y920" s="74" t="s">
        <v>799</v>
      </c>
      <c r="Z920" s="74">
        <f t="shared" si="25"/>
        <v>50503</v>
      </c>
    </row>
    <row r="921" spans="25:26">
      <c r="Y921" s="74" t="s">
        <v>800</v>
      </c>
      <c r="Z921" s="74">
        <f t="shared" si="25"/>
        <v>50510</v>
      </c>
    </row>
    <row r="922" spans="25:26">
      <c r="Y922" s="74" t="s">
        <v>801</v>
      </c>
      <c r="Z922" s="74">
        <f t="shared" si="25"/>
        <v>50518</v>
      </c>
    </row>
    <row r="923" spans="25:26">
      <c r="Y923" s="74" t="s">
        <v>802</v>
      </c>
      <c r="Z923" s="74">
        <f t="shared" ref="Z923:Z986" si="26">DATE(YEAR(Y923)+1/12,MONTH(Y923),DAY(Y923))</f>
        <v>50526</v>
      </c>
    </row>
    <row r="924" spans="25:26">
      <c r="Y924" s="74" t="s">
        <v>803</v>
      </c>
      <c r="Z924" s="74">
        <f t="shared" si="26"/>
        <v>50533</v>
      </c>
    </row>
    <row r="925" spans="25:26">
      <c r="Y925" s="74" t="s">
        <v>804</v>
      </c>
      <c r="Z925" s="74">
        <f t="shared" si="26"/>
        <v>50540</v>
      </c>
    </row>
    <row r="926" spans="25:26">
      <c r="Y926" s="74" t="s">
        <v>805</v>
      </c>
      <c r="Z926" s="74">
        <f t="shared" si="26"/>
        <v>50548</v>
      </c>
    </row>
    <row r="927" spans="25:26">
      <c r="Y927" s="74" t="s">
        <v>806</v>
      </c>
      <c r="Z927" s="74">
        <f t="shared" si="26"/>
        <v>50557</v>
      </c>
    </row>
    <row r="928" spans="25:26">
      <c r="Y928" s="74" t="s">
        <v>807</v>
      </c>
      <c r="Z928" s="74">
        <f t="shared" si="26"/>
        <v>50564</v>
      </c>
    </row>
    <row r="929" spans="25:26">
      <c r="Y929" s="74" t="s">
        <v>808</v>
      </c>
      <c r="Z929" s="74">
        <f t="shared" si="26"/>
        <v>50571</v>
      </c>
    </row>
    <row r="930" spans="25:26">
      <c r="Y930" s="74" t="s">
        <v>809</v>
      </c>
      <c r="Z930" s="74">
        <f t="shared" si="26"/>
        <v>50579</v>
      </c>
    </row>
    <row r="931" spans="25:26">
      <c r="Y931" s="74" t="s">
        <v>810</v>
      </c>
      <c r="Z931" s="74">
        <f t="shared" si="26"/>
        <v>50587</v>
      </c>
    </row>
    <row r="932" spans="25:26">
      <c r="Y932" s="74" t="s">
        <v>811</v>
      </c>
      <c r="Z932" s="74">
        <f t="shared" si="26"/>
        <v>50594</v>
      </c>
    </row>
    <row r="933" spans="25:26">
      <c r="Y933" s="74" t="s">
        <v>812</v>
      </c>
      <c r="Z933" s="74">
        <f t="shared" si="26"/>
        <v>50601</v>
      </c>
    </row>
    <row r="934" spans="25:26">
      <c r="Y934" s="74" t="s">
        <v>813</v>
      </c>
      <c r="Z934" s="74">
        <f t="shared" si="26"/>
        <v>50609</v>
      </c>
    </row>
    <row r="935" spans="25:26">
      <c r="Y935" s="74" t="s">
        <v>814</v>
      </c>
      <c r="Z935" s="74">
        <f t="shared" si="26"/>
        <v>50618</v>
      </c>
    </row>
    <row r="936" spans="25:26">
      <c r="Y936" s="74" t="s">
        <v>815</v>
      </c>
      <c r="Z936" s="74">
        <f t="shared" si="26"/>
        <v>50625</v>
      </c>
    </row>
    <row r="937" spans="25:26">
      <c r="Y937" s="74" t="s">
        <v>816</v>
      </c>
      <c r="Z937" s="74">
        <f t="shared" si="26"/>
        <v>50632</v>
      </c>
    </row>
    <row r="938" spans="25:26">
      <c r="Y938" s="74" t="s">
        <v>817</v>
      </c>
      <c r="Z938" s="74">
        <f t="shared" si="26"/>
        <v>50640</v>
      </c>
    </row>
    <row r="939" spans="25:26">
      <c r="Y939" s="74" t="s">
        <v>818</v>
      </c>
      <c r="Z939" s="74">
        <f t="shared" si="26"/>
        <v>50649</v>
      </c>
    </row>
    <row r="940" spans="25:26">
      <c r="Y940" s="74" t="s">
        <v>819</v>
      </c>
      <c r="Z940" s="74">
        <f t="shared" si="26"/>
        <v>50656</v>
      </c>
    </row>
    <row r="941" spans="25:26">
      <c r="Y941" s="74" t="s">
        <v>820</v>
      </c>
      <c r="Z941" s="74">
        <f t="shared" si="26"/>
        <v>50663</v>
      </c>
    </row>
    <row r="942" spans="25:26">
      <c r="Y942" s="74" t="s">
        <v>821</v>
      </c>
      <c r="Z942" s="74">
        <f t="shared" si="26"/>
        <v>50671</v>
      </c>
    </row>
    <row r="943" spans="25:26">
      <c r="Y943" s="74" t="s">
        <v>822</v>
      </c>
      <c r="Z943" s="74">
        <f t="shared" si="26"/>
        <v>50679</v>
      </c>
    </row>
    <row r="944" spans="25:26">
      <c r="Y944" s="74" t="s">
        <v>823</v>
      </c>
      <c r="Z944" s="74">
        <f t="shared" si="26"/>
        <v>50686</v>
      </c>
    </row>
    <row r="945" spans="25:26">
      <c r="Y945" s="74" t="s">
        <v>824</v>
      </c>
      <c r="Z945" s="74">
        <f t="shared" si="26"/>
        <v>50693</v>
      </c>
    </row>
    <row r="946" spans="25:26">
      <c r="Y946" s="74" t="s">
        <v>825</v>
      </c>
      <c r="Z946" s="74">
        <f t="shared" si="26"/>
        <v>50701</v>
      </c>
    </row>
    <row r="947" spans="25:26">
      <c r="Y947" s="74" t="s">
        <v>826</v>
      </c>
      <c r="Z947" s="74">
        <f t="shared" si="26"/>
        <v>50710</v>
      </c>
    </row>
    <row r="948" spans="25:26">
      <c r="Y948" s="74" t="s">
        <v>827</v>
      </c>
      <c r="Z948" s="74">
        <f t="shared" si="26"/>
        <v>50717</v>
      </c>
    </row>
    <row r="949" spans="25:26">
      <c r="Y949" s="74" t="s">
        <v>828</v>
      </c>
      <c r="Z949" s="74">
        <f t="shared" si="26"/>
        <v>50724</v>
      </c>
    </row>
    <row r="950" spans="25:26">
      <c r="Y950" s="74" t="s">
        <v>829</v>
      </c>
      <c r="Z950" s="74">
        <f t="shared" si="26"/>
        <v>50732</v>
      </c>
    </row>
    <row r="951" spans="25:26">
      <c r="Y951" s="74" t="s">
        <v>830</v>
      </c>
      <c r="Z951" s="74">
        <f t="shared" si="26"/>
        <v>50740</v>
      </c>
    </row>
    <row r="952" spans="25:26">
      <c r="Y952" s="74" t="s">
        <v>831</v>
      </c>
      <c r="Z952" s="74">
        <f t="shared" si="26"/>
        <v>50747</v>
      </c>
    </row>
    <row r="953" spans="25:26">
      <c r="Y953" s="74" t="s">
        <v>832</v>
      </c>
      <c r="Z953" s="74">
        <f t="shared" si="26"/>
        <v>50754</v>
      </c>
    </row>
    <row r="954" spans="25:26">
      <c r="Y954" s="74" t="s">
        <v>833</v>
      </c>
      <c r="Z954" s="74">
        <f t="shared" si="26"/>
        <v>50762</v>
      </c>
    </row>
    <row r="955" spans="25:26">
      <c r="Y955" s="74" t="s">
        <v>834</v>
      </c>
      <c r="Z955" s="74">
        <f t="shared" si="26"/>
        <v>50771</v>
      </c>
    </row>
    <row r="956" spans="25:26">
      <c r="Y956" s="74" t="s">
        <v>835</v>
      </c>
      <c r="Z956" s="74">
        <f t="shared" si="26"/>
        <v>50778</v>
      </c>
    </row>
    <row r="957" spans="25:26">
      <c r="Y957" s="74" t="s">
        <v>836</v>
      </c>
      <c r="Z957" s="74">
        <f t="shared" si="26"/>
        <v>50785</v>
      </c>
    </row>
    <row r="958" spans="25:26">
      <c r="Y958" s="74" t="s">
        <v>837</v>
      </c>
      <c r="Z958" s="74">
        <f t="shared" si="26"/>
        <v>50793</v>
      </c>
    </row>
    <row r="959" spans="25:26">
      <c r="Y959" s="74" t="s">
        <v>838</v>
      </c>
      <c r="Z959" s="74">
        <f t="shared" si="26"/>
        <v>50802</v>
      </c>
    </row>
    <row r="960" spans="25:26">
      <c r="Y960" s="74" t="s">
        <v>839</v>
      </c>
      <c r="Z960" s="74">
        <f t="shared" si="26"/>
        <v>50809</v>
      </c>
    </row>
    <row r="961" spans="25:26">
      <c r="Y961" s="74" t="s">
        <v>840</v>
      </c>
      <c r="Z961" s="74">
        <f t="shared" si="26"/>
        <v>50816</v>
      </c>
    </row>
    <row r="962" spans="25:26">
      <c r="Y962" s="74" t="s">
        <v>841</v>
      </c>
      <c r="Z962" s="74">
        <f t="shared" si="26"/>
        <v>50824</v>
      </c>
    </row>
    <row r="963" spans="25:26">
      <c r="Y963" s="74" t="s">
        <v>842</v>
      </c>
      <c r="Z963" s="74">
        <f t="shared" si="26"/>
        <v>50830</v>
      </c>
    </row>
    <row r="964" spans="25:26">
      <c r="Y964" s="74" t="s">
        <v>843</v>
      </c>
      <c r="Z964" s="74">
        <f t="shared" si="26"/>
        <v>50837</v>
      </c>
    </row>
    <row r="965" spans="25:26">
      <c r="Y965" s="74" t="s">
        <v>844</v>
      </c>
      <c r="Z965" s="74">
        <f t="shared" si="26"/>
        <v>50844</v>
      </c>
    </row>
    <row r="966" spans="25:26">
      <c r="Y966" s="74" t="s">
        <v>845</v>
      </c>
      <c r="Z966" s="74">
        <f t="shared" si="26"/>
        <v>50852</v>
      </c>
    </row>
    <row r="967" spans="25:26">
      <c r="Y967" s="74" t="s">
        <v>846</v>
      </c>
      <c r="Z967" s="74">
        <f t="shared" si="26"/>
        <v>50861</v>
      </c>
    </row>
    <row r="968" spans="25:26">
      <c r="Y968" s="74" t="s">
        <v>847</v>
      </c>
      <c r="Z968" s="74">
        <f t="shared" si="26"/>
        <v>50868</v>
      </c>
    </row>
    <row r="969" spans="25:26">
      <c r="Y969" s="74" t="s">
        <v>848</v>
      </c>
      <c r="Z969" s="74">
        <f t="shared" si="26"/>
        <v>50875</v>
      </c>
    </row>
    <row r="970" spans="25:26">
      <c r="Y970" s="74" t="s">
        <v>849</v>
      </c>
      <c r="Z970" s="74">
        <f t="shared" si="26"/>
        <v>50883</v>
      </c>
    </row>
    <row r="971" spans="25:26">
      <c r="Y971" s="74" t="s">
        <v>850</v>
      </c>
      <c r="Z971" s="74">
        <f t="shared" si="26"/>
        <v>50891</v>
      </c>
    </row>
    <row r="972" spans="25:26">
      <c r="Y972" s="74" t="s">
        <v>851</v>
      </c>
      <c r="Z972" s="74">
        <f t="shared" si="26"/>
        <v>50898</v>
      </c>
    </row>
    <row r="973" spans="25:26">
      <c r="Y973" s="74" t="s">
        <v>852</v>
      </c>
      <c r="Z973" s="74">
        <f t="shared" si="26"/>
        <v>50905</v>
      </c>
    </row>
    <row r="974" spans="25:26">
      <c r="Y974" s="74" t="s">
        <v>853</v>
      </c>
      <c r="Z974" s="74">
        <f t="shared" si="26"/>
        <v>50913</v>
      </c>
    </row>
    <row r="975" spans="25:26">
      <c r="Y975" s="74" t="s">
        <v>854</v>
      </c>
      <c r="Z975" s="74">
        <f t="shared" si="26"/>
        <v>50922</v>
      </c>
    </row>
    <row r="976" spans="25:26">
      <c r="Y976" s="74" t="s">
        <v>855</v>
      </c>
      <c r="Z976" s="74">
        <f t="shared" si="26"/>
        <v>50929</v>
      </c>
    </row>
    <row r="977" spans="25:26">
      <c r="Y977" s="74" t="s">
        <v>856</v>
      </c>
      <c r="Z977" s="74">
        <f t="shared" si="26"/>
        <v>50936</v>
      </c>
    </row>
    <row r="978" spans="25:26">
      <c r="Y978" s="74" t="s">
        <v>857</v>
      </c>
      <c r="Z978" s="74">
        <f t="shared" si="26"/>
        <v>50944</v>
      </c>
    </row>
    <row r="979" spans="25:26">
      <c r="Y979" s="74" t="s">
        <v>858</v>
      </c>
      <c r="Z979" s="74">
        <f t="shared" si="26"/>
        <v>50952</v>
      </c>
    </row>
    <row r="980" spans="25:26">
      <c r="Y980" s="74" t="s">
        <v>859</v>
      </c>
      <c r="Z980" s="74">
        <f t="shared" si="26"/>
        <v>50959</v>
      </c>
    </row>
    <row r="981" spans="25:26">
      <c r="Y981" s="74" t="s">
        <v>860</v>
      </c>
      <c r="Z981" s="74">
        <f t="shared" si="26"/>
        <v>50966</v>
      </c>
    </row>
    <row r="982" spans="25:26">
      <c r="Y982" s="74" t="s">
        <v>861</v>
      </c>
      <c r="Z982" s="74">
        <f t="shared" si="26"/>
        <v>50974</v>
      </c>
    </row>
    <row r="983" spans="25:26">
      <c r="Y983" s="74" t="s">
        <v>862</v>
      </c>
      <c r="Z983" s="74">
        <f t="shared" si="26"/>
        <v>50983</v>
      </c>
    </row>
    <row r="984" spans="25:26">
      <c r="Y984" s="74" t="s">
        <v>863</v>
      </c>
      <c r="Z984" s="74">
        <f t="shared" si="26"/>
        <v>50990</v>
      </c>
    </row>
    <row r="985" spans="25:26">
      <c r="Y985" s="74" t="s">
        <v>864</v>
      </c>
      <c r="Z985" s="74">
        <f t="shared" si="26"/>
        <v>50997</v>
      </c>
    </row>
    <row r="986" spans="25:26">
      <c r="Y986" s="74" t="s">
        <v>865</v>
      </c>
      <c r="Z986" s="74">
        <f t="shared" si="26"/>
        <v>51005</v>
      </c>
    </row>
    <row r="987" spans="25:26">
      <c r="Y987" s="74" t="s">
        <v>866</v>
      </c>
      <c r="Z987" s="74">
        <f t="shared" ref="Z987:Z1050" si="27">DATE(YEAR(Y987)+1/12,MONTH(Y987),DAY(Y987))</f>
        <v>51014</v>
      </c>
    </row>
    <row r="988" spans="25:26">
      <c r="Y988" s="74" t="s">
        <v>867</v>
      </c>
      <c r="Z988" s="74">
        <f t="shared" si="27"/>
        <v>51021</v>
      </c>
    </row>
    <row r="989" spans="25:26">
      <c r="Y989" s="74" t="s">
        <v>868</v>
      </c>
      <c r="Z989" s="74">
        <f t="shared" si="27"/>
        <v>51028</v>
      </c>
    </row>
    <row r="990" spans="25:26">
      <c r="Y990" s="74" t="s">
        <v>869</v>
      </c>
      <c r="Z990" s="74">
        <f t="shared" si="27"/>
        <v>51036</v>
      </c>
    </row>
    <row r="991" spans="25:26">
      <c r="Y991" s="74" t="s">
        <v>870</v>
      </c>
      <c r="Z991" s="74">
        <f t="shared" si="27"/>
        <v>51044</v>
      </c>
    </row>
    <row r="992" spans="25:26">
      <c r="Y992" s="74" t="s">
        <v>871</v>
      </c>
      <c r="Z992" s="74">
        <f t="shared" si="27"/>
        <v>51051</v>
      </c>
    </row>
    <row r="993" spans="25:26">
      <c r="Y993" s="74" t="s">
        <v>872</v>
      </c>
      <c r="Z993" s="74">
        <f t="shared" si="27"/>
        <v>51058</v>
      </c>
    </row>
    <row r="994" spans="25:26">
      <c r="Y994" s="74" t="s">
        <v>873</v>
      </c>
      <c r="Z994" s="74">
        <f t="shared" si="27"/>
        <v>51066</v>
      </c>
    </row>
    <row r="995" spans="25:26">
      <c r="Y995" s="74" t="s">
        <v>874</v>
      </c>
      <c r="Z995" s="74">
        <f t="shared" si="27"/>
        <v>51075</v>
      </c>
    </row>
    <row r="996" spans="25:26">
      <c r="Y996" s="74" t="s">
        <v>875</v>
      </c>
      <c r="Z996" s="74">
        <f t="shared" si="27"/>
        <v>51082</v>
      </c>
    </row>
    <row r="997" spans="25:26">
      <c r="Y997" s="74" t="s">
        <v>876</v>
      </c>
      <c r="Z997" s="74">
        <f t="shared" si="27"/>
        <v>51089</v>
      </c>
    </row>
    <row r="998" spans="25:26">
      <c r="Y998" s="74" t="s">
        <v>877</v>
      </c>
      <c r="Z998" s="74">
        <f t="shared" si="27"/>
        <v>51097</v>
      </c>
    </row>
    <row r="999" spans="25:26">
      <c r="Y999" s="74" t="s">
        <v>878</v>
      </c>
      <c r="Z999" s="74">
        <f t="shared" si="27"/>
        <v>51105</v>
      </c>
    </row>
    <row r="1000" spans="25:26">
      <c r="Y1000" s="74" t="s">
        <v>879</v>
      </c>
      <c r="Z1000" s="74">
        <f t="shared" si="27"/>
        <v>51112</v>
      </c>
    </row>
    <row r="1001" spans="25:26">
      <c r="Y1001" s="74" t="s">
        <v>880</v>
      </c>
      <c r="Z1001" s="74">
        <f t="shared" si="27"/>
        <v>51119</v>
      </c>
    </row>
    <row r="1002" spans="25:26">
      <c r="Y1002" s="74" t="s">
        <v>881</v>
      </c>
      <c r="Z1002" s="74">
        <f t="shared" si="27"/>
        <v>51127</v>
      </c>
    </row>
    <row r="1003" spans="25:26">
      <c r="Y1003" s="74" t="s">
        <v>882</v>
      </c>
      <c r="Z1003" s="74">
        <f t="shared" si="27"/>
        <v>51136</v>
      </c>
    </row>
    <row r="1004" spans="25:26">
      <c r="Y1004" s="74" t="s">
        <v>883</v>
      </c>
      <c r="Z1004" s="74">
        <f t="shared" si="27"/>
        <v>51143</v>
      </c>
    </row>
    <row r="1005" spans="25:26">
      <c r="Y1005" s="74" t="s">
        <v>884</v>
      </c>
      <c r="Z1005" s="74">
        <f t="shared" si="27"/>
        <v>51150</v>
      </c>
    </row>
    <row r="1006" spans="25:26">
      <c r="Y1006" s="74" t="s">
        <v>885</v>
      </c>
      <c r="Z1006" s="74">
        <f t="shared" si="27"/>
        <v>51158</v>
      </c>
    </row>
    <row r="1007" spans="25:26">
      <c r="Y1007" s="74" t="s">
        <v>886</v>
      </c>
      <c r="Z1007" s="74">
        <f t="shared" si="27"/>
        <v>51167</v>
      </c>
    </row>
    <row r="1008" spans="25:26">
      <c r="Y1008" s="74" t="s">
        <v>887</v>
      </c>
      <c r="Z1008" s="74">
        <f t="shared" si="27"/>
        <v>51174</v>
      </c>
    </row>
    <row r="1009" spans="25:26">
      <c r="Y1009" s="74" t="s">
        <v>888</v>
      </c>
      <c r="Z1009" s="74">
        <f t="shared" si="27"/>
        <v>51181</v>
      </c>
    </row>
    <row r="1010" spans="25:26">
      <c r="Y1010" s="74" t="s">
        <v>889</v>
      </c>
      <c r="Z1010" s="74">
        <f t="shared" si="27"/>
        <v>51189</v>
      </c>
    </row>
    <row r="1011" spans="25:26">
      <c r="Y1011" s="74" t="s">
        <v>890</v>
      </c>
      <c r="Z1011" s="74">
        <f t="shared" si="27"/>
        <v>51196</v>
      </c>
    </row>
    <row r="1012" spans="25:26">
      <c r="Y1012" s="74" t="s">
        <v>891</v>
      </c>
      <c r="Z1012" s="74">
        <f t="shared" si="27"/>
        <v>51203</v>
      </c>
    </row>
    <row r="1013" spans="25:26">
      <c r="Y1013" s="74" t="s">
        <v>892</v>
      </c>
      <c r="Z1013" s="74">
        <f t="shared" si="27"/>
        <v>51210</v>
      </c>
    </row>
    <row r="1014" spans="25:26">
      <c r="Y1014" s="74" t="s">
        <v>893</v>
      </c>
      <c r="Z1014" s="74">
        <f t="shared" si="27"/>
        <v>51218</v>
      </c>
    </row>
    <row r="1015" spans="25:26">
      <c r="Y1015" s="74" t="s">
        <v>894</v>
      </c>
      <c r="Z1015" s="74">
        <f t="shared" si="27"/>
        <v>51227</v>
      </c>
    </row>
    <row r="1016" spans="25:26">
      <c r="Y1016" s="74" t="s">
        <v>895</v>
      </c>
      <c r="Z1016" s="74">
        <f t="shared" si="27"/>
        <v>51234</v>
      </c>
    </row>
    <row r="1017" spans="25:26">
      <c r="Y1017" s="74" t="s">
        <v>896</v>
      </c>
      <c r="Z1017" s="74">
        <f t="shared" si="27"/>
        <v>51241</v>
      </c>
    </row>
    <row r="1018" spans="25:26">
      <c r="Y1018" s="74" t="s">
        <v>897</v>
      </c>
      <c r="Z1018" s="74">
        <f t="shared" si="27"/>
        <v>51249</v>
      </c>
    </row>
    <row r="1019" spans="25:26">
      <c r="Y1019" s="74" t="s">
        <v>898</v>
      </c>
      <c r="Z1019" s="74">
        <f t="shared" si="27"/>
        <v>51257</v>
      </c>
    </row>
    <row r="1020" spans="25:26">
      <c r="Y1020" s="74" t="s">
        <v>899</v>
      </c>
      <c r="Z1020" s="74">
        <f t="shared" si="27"/>
        <v>51264</v>
      </c>
    </row>
    <row r="1021" spans="25:26">
      <c r="Y1021" s="74" t="s">
        <v>900</v>
      </c>
      <c r="Z1021" s="74">
        <f t="shared" si="27"/>
        <v>51271</v>
      </c>
    </row>
    <row r="1022" spans="25:26">
      <c r="Y1022" s="74" t="s">
        <v>901</v>
      </c>
      <c r="Z1022" s="74">
        <f t="shared" si="27"/>
        <v>51279</v>
      </c>
    </row>
    <row r="1023" spans="25:26">
      <c r="Y1023" s="74" t="s">
        <v>902</v>
      </c>
      <c r="Z1023" s="74">
        <f t="shared" si="27"/>
        <v>51288</v>
      </c>
    </row>
    <row r="1024" spans="25:26">
      <c r="Y1024" s="74" t="s">
        <v>903</v>
      </c>
      <c r="Z1024" s="74">
        <f t="shared" si="27"/>
        <v>51295</v>
      </c>
    </row>
    <row r="1025" spans="25:26">
      <c r="Y1025" s="74" t="s">
        <v>904</v>
      </c>
      <c r="Z1025" s="74">
        <f t="shared" si="27"/>
        <v>51302</v>
      </c>
    </row>
    <row r="1026" spans="25:26">
      <c r="Y1026" s="74" t="s">
        <v>905</v>
      </c>
      <c r="Z1026" s="74">
        <f t="shared" si="27"/>
        <v>51310</v>
      </c>
    </row>
    <row r="1027" spans="25:26">
      <c r="Y1027" s="74" t="s">
        <v>906</v>
      </c>
      <c r="Z1027" s="74">
        <f t="shared" si="27"/>
        <v>51318</v>
      </c>
    </row>
    <row r="1028" spans="25:26">
      <c r="Y1028" s="74" t="s">
        <v>907</v>
      </c>
      <c r="Z1028" s="74">
        <f t="shared" si="27"/>
        <v>51325</v>
      </c>
    </row>
    <row r="1029" spans="25:26">
      <c r="Y1029" s="74" t="s">
        <v>908</v>
      </c>
      <c r="Z1029" s="74">
        <f t="shared" si="27"/>
        <v>51332</v>
      </c>
    </row>
    <row r="1030" spans="25:26">
      <c r="Y1030" s="74" t="s">
        <v>909</v>
      </c>
      <c r="Z1030" s="74">
        <f t="shared" si="27"/>
        <v>51340</v>
      </c>
    </row>
    <row r="1031" spans="25:26">
      <c r="Y1031" s="74" t="s">
        <v>910</v>
      </c>
      <c r="Z1031" s="74">
        <f t="shared" si="27"/>
        <v>51349</v>
      </c>
    </row>
    <row r="1032" spans="25:26">
      <c r="Y1032" s="74" t="s">
        <v>911</v>
      </c>
      <c r="Z1032" s="74">
        <f t="shared" si="27"/>
        <v>51356</v>
      </c>
    </row>
    <row r="1033" spans="25:26">
      <c r="Y1033" s="74" t="s">
        <v>912</v>
      </c>
      <c r="Z1033" s="74">
        <f t="shared" si="27"/>
        <v>51363</v>
      </c>
    </row>
    <row r="1034" spans="25:26">
      <c r="Y1034" s="74" t="s">
        <v>913</v>
      </c>
      <c r="Z1034" s="74">
        <f t="shared" si="27"/>
        <v>51371</v>
      </c>
    </row>
    <row r="1035" spans="25:26">
      <c r="Y1035" s="74" t="s">
        <v>914</v>
      </c>
      <c r="Z1035" s="74">
        <f t="shared" si="27"/>
        <v>51380</v>
      </c>
    </row>
    <row r="1036" spans="25:26">
      <c r="Y1036" s="74" t="s">
        <v>915</v>
      </c>
      <c r="Z1036" s="74">
        <f t="shared" si="27"/>
        <v>51387</v>
      </c>
    </row>
    <row r="1037" spans="25:26">
      <c r="Y1037" s="74" t="s">
        <v>916</v>
      </c>
      <c r="Z1037" s="74">
        <f t="shared" si="27"/>
        <v>51394</v>
      </c>
    </row>
    <row r="1038" spans="25:26">
      <c r="Y1038" s="74" t="s">
        <v>917</v>
      </c>
      <c r="Z1038" s="74">
        <f t="shared" si="27"/>
        <v>51402</v>
      </c>
    </row>
    <row r="1039" spans="25:26">
      <c r="Y1039" s="74" t="s">
        <v>918</v>
      </c>
      <c r="Z1039" s="74">
        <f t="shared" si="27"/>
        <v>51410</v>
      </c>
    </row>
    <row r="1040" spans="25:26">
      <c r="Y1040" s="74" t="s">
        <v>919</v>
      </c>
      <c r="Z1040" s="74">
        <f t="shared" si="27"/>
        <v>51417</v>
      </c>
    </row>
    <row r="1041" spans="25:26">
      <c r="Y1041" s="74" t="s">
        <v>920</v>
      </c>
      <c r="Z1041" s="74">
        <f t="shared" si="27"/>
        <v>51424</v>
      </c>
    </row>
    <row r="1042" spans="25:26">
      <c r="Y1042" s="74" t="s">
        <v>921</v>
      </c>
      <c r="Z1042" s="74">
        <f t="shared" si="27"/>
        <v>51432</v>
      </c>
    </row>
    <row r="1043" spans="25:26">
      <c r="Y1043" s="74" t="s">
        <v>922</v>
      </c>
      <c r="Z1043" s="74">
        <f t="shared" si="27"/>
        <v>51441</v>
      </c>
    </row>
    <row r="1044" spans="25:26">
      <c r="Y1044" s="74" t="s">
        <v>923</v>
      </c>
      <c r="Z1044" s="74">
        <f t="shared" si="27"/>
        <v>51448</v>
      </c>
    </row>
    <row r="1045" spans="25:26">
      <c r="Y1045" s="74" t="s">
        <v>924</v>
      </c>
      <c r="Z1045" s="74">
        <f t="shared" si="27"/>
        <v>51455</v>
      </c>
    </row>
    <row r="1046" spans="25:26">
      <c r="Y1046" s="74" t="s">
        <v>925</v>
      </c>
      <c r="Z1046" s="74">
        <f t="shared" si="27"/>
        <v>51463</v>
      </c>
    </row>
    <row r="1047" spans="25:26">
      <c r="Y1047" s="74" t="s">
        <v>926</v>
      </c>
      <c r="Z1047" s="74">
        <f t="shared" si="27"/>
        <v>51471</v>
      </c>
    </row>
    <row r="1048" spans="25:26">
      <c r="Y1048" s="74" t="s">
        <v>927</v>
      </c>
      <c r="Z1048" s="74">
        <f t="shared" si="27"/>
        <v>51478</v>
      </c>
    </row>
    <row r="1049" spans="25:26">
      <c r="Y1049" s="74" t="s">
        <v>928</v>
      </c>
      <c r="Z1049" s="74">
        <f t="shared" si="27"/>
        <v>51485</v>
      </c>
    </row>
    <row r="1050" spans="25:26">
      <c r="Y1050" s="74" t="s">
        <v>929</v>
      </c>
      <c r="Z1050" s="74">
        <f t="shared" si="27"/>
        <v>51493</v>
      </c>
    </row>
  </sheetData>
  <pageMargins left="0.7" right="0.7" top="0.75" bottom="0.75" header="0.3" footer="0.3"/>
  <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J90"/>
  <sheetViews>
    <sheetView showGridLines="0" topLeftCell="A2" workbookViewId="0"/>
  </sheetViews>
  <sheetFormatPr baseColWidth="10" defaultColWidth="11.44140625" defaultRowHeight="10.8"/>
  <cols>
    <col min="1" max="1" width="3.5546875" style="105" customWidth="1"/>
    <col min="2" max="2" width="14" style="105" customWidth="1"/>
    <col min="3" max="3" width="21.109375" style="105" customWidth="1"/>
    <col min="4" max="4" width="18.88671875" style="105" customWidth="1"/>
    <col min="5" max="5" width="11.88671875" style="105" customWidth="1"/>
    <col min="6" max="6" width="9.44140625" style="105" customWidth="1"/>
    <col min="7" max="7" width="10.109375" style="105" customWidth="1"/>
    <col min="8" max="8" width="10.44140625" style="105" customWidth="1"/>
    <col min="9" max="9" width="11.44140625" style="105" customWidth="1"/>
    <col min="10" max="10" width="7.5546875" style="105" customWidth="1"/>
    <col min="11" max="11" width="8.109375" style="105" customWidth="1"/>
    <col min="12" max="12" width="9" style="105" customWidth="1"/>
    <col min="13" max="13" width="12" style="105" customWidth="1"/>
    <col min="14" max="14" width="24.6640625" style="105" customWidth="1"/>
    <col min="15" max="15" width="9.5546875" style="105" customWidth="1"/>
    <col min="16" max="16" width="9.44140625" style="190" customWidth="1"/>
    <col min="17" max="17" width="6.6640625" style="190" customWidth="1"/>
    <col min="18" max="18" width="9.5546875" style="190" customWidth="1"/>
    <col min="19" max="19" width="8.88671875" style="190" customWidth="1"/>
    <col min="20" max="20" width="4.109375" style="190" customWidth="1"/>
    <col min="21" max="22" width="2.44140625" style="106" customWidth="1"/>
    <col min="23" max="23" width="14.109375" style="106" customWidth="1"/>
    <col min="24" max="24" width="21.109375" style="106" customWidth="1"/>
    <col min="25" max="25" width="10.88671875" style="106" customWidth="1"/>
    <col min="26" max="26" width="23.44140625" style="106" customWidth="1"/>
    <col min="27" max="27" width="16.44140625" style="106" customWidth="1"/>
    <col min="28" max="36" width="10.88671875" style="106"/>
    <col min="37" max="212" width="10.88671875" style="105"/>
    <col min="213" max="213" width="3.5546875" style="105" customWidth="1"/>
    <col min="214" max="215" width="9" style="105" customWidth="1"/>
    <col min="216" max="216" width="7" style="105" customWidth="1"/>
    <col min="217" max="217" width="13.33203125" style="105" customWidth="1"/>
    <col min="218" max="218" width="10" style="105" customWidth="1"/>
    <col min="219" max="219" width="11.44140625" style="105" customWidth="1"/>
    <col min="220" max="220" width="11.5546875" style="105" customWidth="1"/>
    <col min="221" max="221" width="9.109375" style="105" customWidth="1"/>
    <col min="222" max="223" width="9.44140625" style="105" customWidth="1"/>
    <col min="224" max="224" width="10.88671875" style="105" customWidth="1"/>
    <col min="225" max="226" width="9.5546875" style="105" customWidth="1"/>
    <col min="227" max="227" width="10.33203125" style="105" customWidth="1"/>
    <col min="228" max="228" width="3.109375" style="105" customWidth="1"/>
    <col min="229" max="233" width="10.88671875" style="105" customWidth="1"/>
    <col min="234" max="234" width="10.88671875" style="105"/>
    <col min="235" max="236" width="7.109375" style="105" customWidth="1"/>
    <col min="237" max="468" width="10.88671875" style="105"/>
    <col min="469" max="469" width="3.5546875" style="105" customWidth="1"/>
    <col min="470" max="471" width="9" style="105" customWidth="1"/>
    <col min="472" max="472" width="7" style="105" customWidth="1"/>
    <col min="473" max="473" width="13.33203125" style="105" customWidth="1"/>
    <col min="474" max="474" width="10" style="105" customWidth="1"/>
    <col min="475" max="475" width="11.44140625" style="105" customWidth="1"/>
    <col min="476" max="476" width="11.5546875" style="105" customWidth="1"/>
    <col min="477" max="477" width="9.109375" style="105" customWidth="1"/>
    <col min="478" max="479" width="9.44140625" style="105" customWidth="1"/>
    <col min="480" max="480" width="10.88671875" style="105" customWidth="1"/>
    <col min="481" max="482" width="9.5546875" style="105" customWidth="1"/>
    <col min="483" max="483" width="10.33203125" style="105" customWidth="1"/>
    <col min="484" max="484" width="3.109375" style="105" customWidth="1"/>
    <col min="485" max="489" width="10.88671875" style="105" customWidth="1"/>
    <col min="490" max="490" width="10.88671875" style="105"/>
    <col min="491" max="492" width="7.109375" style="105" customWidth="1"/>
    <col min="493" max="724" width="10.88671875" style="105"/>
    <col min="725" max="725" width="3.5546875" style="105" customWidth="1"/>
    <col min="726" max="727" width="9" style="105" customWidth="1"/>
    <col min="728" max="728" width="7" style="105" customWidth="1"/>
    <col min="729" max="729" width="13.33203125" style="105" customWidth="1"/>
    <col min="730" max="730" width="10" style="105" customWidth="1"/>
    <col min="731" max="731" width="11.44140625" style="105" customWidth="1"/>
    <col min="732" max="732" width="11.5546875" style="105" customWidth="1"/>
    <col min="733" max="733" width="9.109375" style="105" customWidth="1"/>
    <col min="734" max="735" width="9.44140625" style="105" customWidth="1"/>
    <col min="736" max="736" width="10.88671875" style="105" customWidth="1"/>
    <col min="737" max="738" width="9.5546875" style="105" customWidth="1"/>
    <col min="739" max="739" width="10.33203125" style="105" customWidth="1"/>
    <col min="740" max="740" width="3.109375" style="105" customWidth="1"/>
    <col min="741" max="745" width="10.88671875" style="105" customWidth="1"/>
    <col min="746" max="746" width="10.88671875" style="105"/>
    <col min="747" max="748" width="7.109375" style="105" customWidth="1"/>
    <col min="749" max="980" width="10.88671875" style="105"/>
    <col min="981" max="981" width="3.5546875" style="105" customWidth="1"/>
    <col min="982" max="983" width="9" style="105" customWidth="1"/>
    <col min="984" max="984" width="7" style="105" customWidth="1"/>
    <col min="985" max="985" width="13.33203125" style="105" customWidth="1"/>
    <col min="986" max="986" width="10" style="105" customWidth="1"/>
    <col min="987" max="987" width="11.44140625" style="105" customWidth="1"/>
    <col min="988" max="988" width="11.5546875" style="105" customWidth="1"/>
    <col min="989" max="989" width="9.109375" style="105" customWidth="1"/>
    <col min="990" max="991" width="9.44140625" style="105" customWidth="1"/>
    <col min="992" max="992" width="10.88671875" style="105" customWidth="1"/>
    <col min="993" max="994" width="9.5546875" style="105" customWidth="1"/>
    <col min="995" max="995" width="10.33203125" style="105" customWidth="1"/>
    <col min="996" max="996" width="3.109375" style="105" customWidth="1"/>
    <col min="997" max="1001" width="10.88671875" style="105" customWidth="1"/>
    <col min="1002" max="1002" width="10.88671875" style="105"/>
    <col min="1003" max="1004" width="7.109375" style="105" customWidth="1"/>
    <col min="1005" max="1236" width="10.88671875" style="105"/>
    <col min="1237" max="1237" width="3.5546875" style="105" customWidth="1"/>
    <col min="1238" max="1239" width="9" style="105" customWidth="1"/>
    <col min="1240" max="1240" width="7" style="105" customWidth="1"/>
    <col min="1241" max="1241" width="13.33203125" style="105" customWidth="1"/>
    <col min="1242" max="1242" width="10" style="105" customWidth="1"/>
    <col min="1243" max="1243" width="11.44140625" style="105" customWidth="1"/>
    <col min="1244" max="1244" width="11.5546875" style="105" customWidth="1"/>
    <col min="1245" max="1245" width="9.109375" style="105" customWidth="1"/>
    <col min="1246" max="1247" width="9.44140625" style="105" customWidth="1"/>
    <col min="1248" max="1248" width="10.88671875" style="105" customWidth="1"/>
    <col min="1249" max="1250" width="9.5546875" style="105" customWidth="1"/>
    <col min="1251" max="1251" width="10.33203125" style="105" customWidth="1"/>
    <col min="1252" max="1252" width="3.109375" style="105" customWidth="1"/>
    <col min="1253" max="1257" width="10.88671875" style="105" customWidth="1"/>
    <col min="1258" max="1258" width="10.88671875" style="105"/>
    <col min="1259" max="1260" width="7.109375" style="105" customWidth="1"/>
    <col min="1261" max="1492" width="10.88671875" style="105"/>
    <col min="1493" max="1493" width="3.5546875" style="105" customWidth="1"/>
    <col min="1494" max="1495" width="9" style="105" customWidth="1"/>
    <col min="1496" max="1496" width="7" style="105" customWidth="1"/>
    <col min="1497" max="1497" width="13.33203125" style="105" customWidth="1"/>
    <col min="1498" max="1498" width="10" style="105" customWidth="1"/>
    <col min="1499" max="1499" width="11.44140625" style="105" customWidth="1"/>
    <col min="1500" max="1500" width="11.5546875" style="105" customWidth="1"/>
    <col min="1501" max="1501" width="9.109375" style="105" customWidth="1"/>
    <col min="1502" max="1503" width="9.44140625" style="105" customWidth="1"/>
    <col min="1504" max="1504" width="10.88671875" style="105" customWidth="1"/>
    <col min="1505" max="1506" width="9.5546875" style="105" customWidth="1"/>
    <col min="1507" max="1507" width="10.33203125" style="105" customWidth="1"/>
    <col min="1508" max="1508" width="3.109375" style="105" customWidth="1"/>
    <col min="1509" max="1513" width="10.88671875" style="105" customWidth="1"/>
    <col min="1514" max="1514" width="10.88671875" style="105"/>
    <col min="1515" max="1516" width="7.109375" style="105" customWidth="1"/>
    <col min="1517" max="1748" width="10.88671875" style="105"/>
    <col min="1749" max="1749" width="3.5546875" style="105" customWidth="1"/>
    <col min="1750" max="1751" width="9" style="105" customWidth="1"/>
    <col min="1752" max="1752" width="7" style="105" customWidth="1"/>
    <col min="1753" max="1753" width="13.33203125" style="105" customWidth="1"/>
    <col min="1754" max="1754" width="10" style="105" customWidth="1"/>
    <col min="1755" max="1755" width="11.44140625" style="105" customWidth="1"/>
    <col min="1756" max="1756" width="11.5546875" style="105" customWidth="1"/>
    <col min="1757" max="1757" width="9.109375" style="105" customWidth="1"/>
    <col min="1758" max="1759" width="9.44140625" style="105" customWidth="1"/>
    <col min="1760" max="1760" width="10.88671875" style="105" customWidth="1"/>
    <col min="1761" max="1762" width="9.5546875" style="105" customWidth="1"/>
    <col min="1763" max="1763" width="10.33203125" style="105" customWidth="1"/>
    <col min="1764" max="1764" width="3.109375" style="105" customWidth="1"/>
    <col min="1765" max="1769" width="10.88671875" style="105" customWidth="1"/>
    <col min="1770" max="1770" width="10.88671875" style="105"/>
    <col min="1771" max="1772" width="7.109375" style="105" customWidth="1"/>
    <col min="1773" max="2004" width="10.88671875" style="105"/>
    <col min="2005" max="2005" width="3.5546875" style="105" customWidth="1"/>
    <col min="2006" max="2007" width="9" style="105" customWidth="1"/>
    <col min="2008" max="2008" width="7" style="105" customWidth="1"/>
    <col min="2009" max="2009" width="13.33203125" style="105" customWidth="1"/>
    <col min="2010" max="2010" width="10" style="105" customWidth="1"/>
    <col min="2011" max="2011" width="11.44140625" style="105" customWidth="1"/>
    <col min="2012" max="2012" width="11.5546875" style="105" customWidth="1"/>
    <col min="2013" max="2013" width="9.109375" style="105" customWidth="1"/>
    <col min="2014" max="2015" width="9.44140625" style="105" customWidth="1"/>
    <col min="2016" max="2016" width="10.88671875" style="105" customWidth="1"/>
    <col min="2017" max="2018" width="9.5546875" style="105" customWidth="1"/>
    <col min="2019" max="2019" width="10.33203125" style="105" customWidth="1"/>
    <col min="2020" max="2020" width="3.109375" style="105" customWidth="1"/>
    <col min="2021" max="2025" width="10.88671875" style="105" customWidth="1"/>
    <col min="2026" max="2026" width="10.88671875" style="105"/>
    <col min="2027" max="2028" width="7.109375" style="105" customWidth="1"/>
    <col min="2029" max="2260" width="10.88671875" style="105"/>
    <col min="2261" max="2261" width="3.5546875" style="105" customWidth="1"/>
    <col min="2262" max="2263" width="9" style="105" customWidth="1"/>
    <col min="2264" max="2264" width="7" style="105" customWidth="1"/>
    <col min="2265" max="2265" width="13.33203125" style="105" customWidth="1"/>
    <col min="2266" max="2266" width="10" style="105" customWidth="1"/>
    <col min="2267" max="2267" width="11.44140625" style="105" customWidth="1"/>
    <col min="2268" max="2268" width="11.5546875" style="105" customWidth="1"/>
    <col min="2269" max="2269" width="9.109375" style="105" customWidth="1"/>
    <col min="2270" max="2271" width="9.44140625" style="105" customWidth="1"/>
    <col min="2272" max="2272" width="10.88671875" style="105" customWidth="1"/>
    <col min="2273" max="2274" width="9.5546875" style="105" customWidth="1"/>
    <col min="2275" max="2275" width="10.33203125" style="105" customWidth="1"/>
    <col min="2276" max="2276" width="3.109375" style="105" customWidth="1"/>
    <col min="2277" max="2281" width="10.88671875" style="105" customWidth="1"/>
    <col min="2282" max="2282" width="10.88671875" style="105"/>
    <col min="2283" max="2284" width="7.109375" style="105" customWidth="1"/>
    <col min="2285" max="2516" width="10.88671875" style="105"/>
    <col min="2517" max="2517" width="3.5546875" style="105" customWidth="1"/>
    <col min="2518" max="2519" width="9" style="105" customWidth="1"/>
    <col min="2520" max="2520" width="7" style="105" customWidth="1"/>
    <col min="2521" max="2521" width="13.33203125" style="105" customWidth="1"/>
    <col min="2522" max="2522" width="10" style="105" customWidth="1"/>
    <col min="2523" max="2523" width="11.44140625" style="105" customWidth="1"/>
    <col min="2524" max="2524" width="11.5546875" style="105" customWidth="1"/>
    <col min="2525" max="2525" width="9.109375" style="105" customWidth="1"/>
    <col min="2526" max="2527" width="9.44140625" style="105" customWidth="1"/>
    <col min="2528" max="2528" width="10.88671875" style="105" customWidth="1"/>
    <col min="2529" max="2530" width="9.5546875" style="105" customWidth="1"/>
    <col min="2531" max="2531" width="10.33203125" style="105" customWidth="1"/>
    <col min="2532" max="2532" width="3.109375" style="105" customWidth="1"/>
    <col min="2533" max="2537" width="10.88671875" style="105" customWidth="1"/>
    <col min="2538" max="2538" width="10.88671875" style="105"/>
    <col min="2539" max="2540" width="7.109375" style="105" customWidth="1"/>
    <col min="2541" max="2772" width="10.88671875" style="105"/>
    <col min="2773" max="2773" width="3.5546875" style="105" customWidth="1"/>
    <col min="2774" max="2775" width="9" style="105" customWidth="1"/>
    <col min="2776" max="2776" width="7" style="105" customWidth="1"/>
    <col min="2777" max="2777" width="13.33203125" style="105" customWidth="1"/>
    <col min="2778" max="2778" width="10" style="105" customWidth="1"/>
    <col min="2779" max="2779" width="11.44140625" style="105" customWidth="1"/>
    <col min="2780" max="2780" width="11.5546875" style="105" customWidth="1"/>
    <col min="2781" max="2781" width="9.109375" style="105" customWidth="1"/>
    <col min="2782" max="2783" width="9.44140625" style="105" customWidth="1"/>
    <col min="2784" max="2784" width="10.88671875" style="105" customWidth="1"/>
    <col min="2785" max="2786" width="9.5546875" style="105" customWidth="1"/>
    <col min="2787" max="2787" width="10.33203125" style="105" customWidth="1"/>
    <col min="2788" max="2788" width="3.109375" style="105" customWidth="1"/>
    <col min="2789" max="2793" width="10.88671875" style="105" customWidth="1"/>
    <col min="2794" max="2794" width="10.88671875" style="105"/>
    <col min="2795" max="2796" width="7.109375" style="105" customWidth="1"/>
    <col min="2797" max="3028" width="10.88671875" style="105"/>
    <col min="3029" max="3029" width="3.5546875" style="105" customWidth="1"/>
    <col min="3030" max="3031" width="9" style="105" customWidth="1"/>
    <col min="3032" max="3032" width="7" style="105" customWidth="1"/>
    <col min="3033" max="3033" width="13.33203125" style="105" customWidth="1"/>
    <col min="3034" max="3034" width="10" style="105" customWidth="1"/>
    <col min="3035" max="3035" width="11.44140625" style="105" customWidth="1"/>
    <col min="3036" max="3036" width="11.5546875" style="105" customWidth="1"/>
    <col min="3037" max="3037" width="9.109375" style="105" customWidth="1"/>
    <col min="3038" max="3039" width="9.44140625" style="105" customWidth="1"/>
    <col min="3040" max="3040" width="10.88671875" style="105" customWidth="1"/>
    <col min="3041" max="3042" width="9.5546875" style="105" customWidth="1"/>
    <col min="3043" max="3043" width="10.33203125" style="105" customWidth="1"/>
    <col min="3044" max="3044" width="3.109375" style="105" customWidth="1"/>
    <col min="3045" max="3049" width="10.88671875" style="105" customWidth="1"/>
    <col min="3050" max="3050" width="10.88671875" style="105"/>
    <col min="3051" max="3052" width="7.109375" style="105" customWidth="1"/>
    <col min="3053" max="3284" width="10.88671875" style="105"/>
    <col min="3285" max="3285" width="3.5546875" style="105" customWidth="1"/>
    <col min="3286" max="3287" width="9" style="105" customWidth="1"/>
    <col min="3288" max="3288" width="7" style="105" customWidth="1"/>
    <col min="3289" max="3289" width="13.33203125" style="105" customWidth="1"/>
    <col min="3290" max="3290" width="10" style="105" customWidth="1"/>
    <col min="3291" max="3291" width="11.44140625" style="105" customWidth="1"/>
    <col min="3292" max="3292" width="11.5546875" style="105" customWidth="1"/>
    <col min="3293" max="3293" width="9.109375" style="105" customWidth="1"/>
    <col min="3294" max="3295" width="9.44140625" style="105" customWidth="1"/>
    <col min="3296" max="3296" width="10.88671875" style="105" customWidth="1"/>
    <col min="3297" max="3298" width="9.5546875" style="105" customWidth="1"/>
    <col min="3299" max="3299" width="10.33203125" style="105" customWidth="1"/>
    <col min="3300" max="3300" width="3.109375" style="105" customWidth="1"/>
    <col min="3301" max="3305" width="10.88671875" style="105" customWidth="1"/>
    <col min="3306" max="3306" width="10.88671875" style="105"/>
    <col min="3307" max="3308" width="7.109375" style="105" customWidth="1"/>
    <col min="3309" max="3540" width="10.88671875" style="105"/>
    <col min="3541" max="3541" width="3.5546875" style="105" customWidth="1"/>
    <col min="3542" max="3543" width="9" style="105" customWidth="1"/>
    <col min="3544" max="3544" width="7" style="105" customWidth="1"/>
    <col min="3545" max="3545" width="13.33203125" style="105" customWidth="1"/>
    <col min="3546" max="3546" width="10" style="105" customWidth="1"/>
    <col min="3547" max="3547" width="11.44140625" style="105" customWidth="1"/>
    <col min="3548" max="3548" width="11.5546875" style="105" customWidth="1"/>
    <col min="3549" max="3549" width="9.109375" style="105" customWidth="1"/>
    <col min="3550" max="3551" width="9.44140625" style="105" customWidth="1"/>
    <col min="3552" max="3552" width="10.88671875" style="105" customWidth="1"/>
    <col min="3553" max="3554" width="9.5546875" style="105" customWidth="1"/>
    <col min="3555" max="3555" width="10.33203125" style="105" customWidth="1"/>
    <col min="3556" max="3556" width="3.109375" style="105" customWidth="1"/>
    <col min="3557" max="3561" width="10.88671875" style="105" customWidth="1"/>
    <col min="3562" max="3562" width="10.88671875" style="105"/>
    <col min="3563" max="3564" width="7.109375" style="105" customWidth="1"/>
    <col min="3565" max="3796" width="10.88671875" style="105"/>
    <col min="3797" max="3797" width="3.5546875" style="105" customWidth="1"/>
    <col min="3798" max="3799" width="9" style="105" customWidth="1"/>
    <col min="3800" max="3800" width="7" style="105" customWidth="1"/>
    <col min="3801" max="3801" width="13.33203125" style="105" customWidth="1"/>
    <col min="3802" max="3802" width="10" style="105" customWidth="1"/>
    <col min="3803" max="3803" width="11.44140625" style="105" customWidth="1"/>
    <col min="3804" max="3804" width="11.5546875" style="105" customWidth="1"/>
    <col min="3805" max="3805" width="9.109375" style="105" customWidth="1"/>
    <col min="3806" max="3807" width="9.44140625" style="105" customWidth="1"/>
    <col min="3808" max="3808" width="10.88671875" style="105" customWidth="1"/>
    <col min="3809" max="3810" width="9.5546875" style="105" customWidth="1"/>
    <col min="3811" max="3811" width="10.33203125" style="105" customWidth="1"/>
    <col min="3812" max="3812" width="3.109375" style="105" customWidth="1"/>
    <col min="3813" max="3817" width="10.88671875" style="105" customWidth="1"/>
    <col min="3818" max="3818" width="10.88671875" style="105"/>
    <col min="3819" max="3820" width="7.109375" style="105" customWidth="1"/>
    <col min="3821" max="4052" width="10.88671875" style="105"/>
    <col min="4053" max="4053" width="3.5546875" style="105" customWidth="1"/>
    <col min="4054" max="4055" width="9" style="105" customWidth="1"/>
    <col min="4056" max="4056" width="7" style="105" customWidth="1"/>
    <col min="4057" max="4057" width="13.33203125" style="105" customWidth="1"/>
    <col min="4058" max="4058" width="10" style="105" customWidth="1"/>
    <col min="4059" max="4059" width="11.44140625" style="105" customWidth="1"/>
    <col min="4060" max="4060" width="11.5546875" style="105" customWidth="1"/>
    <col min="4061" max="4061" width="9.109375" style="105" customWidth="1"/>
    <col min="4062" max="4063" width="9.44140625" style="105" customWidth="1"/>
    <col min="4064" max="4064" width="10.88671875" style="105" customWidth="1"/>
    <col min="4065" max="4066" width="9.5546875" style="105" customWidth="1"/>
    <col min="4067" max="4067" width="10.33203125" style="105" customWidth="1"/>
    <col min="4068" max="4068" width="3.109375" style="105" customWidth="1"/>
    <col min="4069" max="4073" width="10.88671875" style="105" customWidth="1"/>
    <col min="4074" max="4074" width="10.88671875" style="105"/>
    <col min="4075" max="4076" width="7.109375" style="105" customWidth="1"/>
    <col min="4077" max="4308" width="10.88671875" style="105"/>
    <col min="4309" max="4309" width="3.5546875" style="105" customWidth="1"/>
    <col min="4310" max="4311" width="9" style="105" customWidth="1"/>
    <col min="4312" max="4312" width="7" style="105" customWidth="1"/>
    <col min="4313" max="4313" width="13.33203125" style="105" customWidth="1"/>
    <col min="4314" max="4314" width="10" style="105" customWidth="1"/>
    <col min="4315" max="4315" width="11.44140625" style="105" customWidth="1"/>
    <col min="4316" max="4316" width="11.5546875" style="105" customWidth="1"/>
    <col min="4317" max="4317" width="9.109375" style="105" customWidth="1"/>
    <col min="4318" max="4319" width="9.44140625" style="105" customWidth="1"/>
    <col min="4320" max="4320" width="10.88671875" style="105" customWidth="1"/>
    <col min="4321" max="4322" width="9.5546875" style="105" customWidth="1"/>
    <col min="4323" max="4323" width="10.33203125" style="105" customWidth="1"/>
    <col min="4324" max="4324" width="3.109375" style="105" customWidth="1"/>
    <col min="4325" max="4329" width="10.88671875" style="105" customWidth="1"/>
    <col min="4330" max="4330" width="10.88671875" style="105"/>
    <col min="4331" max="4332" width="7.109375" style="105" customWidth="1"/>
    <col min="4333" max="4564" width="10.88671875" style="105"/>
    <col min="4565" max="4565" width="3.5546875" style="105" customWidth="1"/>
    <col min="4566" max="4567" width="9" style="105" customWidth="1"/>
    <col min="4568" max="4568" width="7" style="105" customWidth="1"/>
    <col min="4569" max="4569" width="13.33203125" style="105" customWidth="1"/>
    <col min="4570" max="4570" width="10" style="105" customWidth="1"/>
    <col min="4571" max="4571" width="11.44140625" style="105" customWidth="1"/>
    <col min="4572" max="4572" width="11.5546875" style="105" customWidth="1"/>
    <col min="4573" max="4573" width="9.109375" style="105" customWidth="1"/>
    <col min="4574" max="4575" width="9.44140625" style="105" customWidth="1"/>
    <col min="4576" max="4576" width="10.88671875" style="105" customWidth="1"/>
    <col min="4577" max="4578" width="9.5546875" style="105" customWidth="1"/>
    <col min="4579" max="4579" width="10.33203125" style="105" customWidth="1"/>
    <col min="4580" max="4580" width="3.109375" style="105" customWidth="1"/>
    <col min="4581" max="4585" width="10.88671875" style="105" customWidth="1"/>
    <col min="4586" max="4586" width="10.88671875" style="105"/>
    <col min="4587" max="4588" width="7.109375" style="105" customWidth="1"/>
    <col min="4589" max="4820" width="10.88671875" style="105"/>
    <col min="4821" max="4821" width="3.5546875" style="105" customWidth="1"/>
    <col min="4822" max="4823" width="9" style="105" customWidth="1"/>
    <col min="4824" max="4824" width="7" style="105" customWidth="1"/>
    <col min="4825" max="4825" width="13.33203125" style="105" customWidth="1"/>
    <col min="4826" max="4826" width="10" style="105" customWidth="1"/>
    <col min="4827" max="4827" width="11.44140625" style="105" customWidth="1"/>
    <col min="4828" max="4828" width="11.5546875" style="105" customWidth="1"/>
    <col min="4829" max="4829" width="9.109375" style="105" customWidth="1"/>
    <col min="4830" max="4831" width="9.44140625" style="105" customWidth="1"/>
    <col min="4832" max="4832" width="10.88671875" style="105" customWidth="1"/>
    <col min="4833" max="4834" width="9.5546875" style="105" customWidth="1"/>
    <col min="4835" max="4835" width="10.33203125" style="105" customWidth="1"/>
    <col min="4836" max="4836" width="3.109375" style="105" customWidth="1"/>
    <col min="4837" max="4841" width="10.88671875" style="105" customWidth="1"/>
    <col min="4842" max="4842" width="10.88671875" style="105"/>
    <col min="4843" max="4844" width="7.109375" style="105" customWidth="1"/>
    <col min="4845" max="5076" width="10.88671875" style="105"/>
    <col min="5077" max="5077" width="3.5546875" style="105" customWidth="1"/>
    <col min="5078" max="5079" width="9" style="105" customWidth="1"/>
    <col min="5080" max="5080" width="7" style="105" customWidth="1"/>
    <col min="5081" max="5081" width="13.33203125" style="105" customWidth="1"/>
    <col min="5082" max="5082" width="10" style="105" customWidth="1"/>
    <col min="5083" max="5083" width="11.44140625" style="105" customWidth="1"/>
    <col min="5084" max="5084" width="11.5546875" style="105" customWidth="1"/>
    <col min="5085" max="5085" width="9.109375" style="105" customWidth="1"/>
    <col min="5086" max="5087" width="9.44140625" style="105" customWidth="1"/>
    <col min="5088" max="5088" width="10.88671875" style="105" customWidth="1"/>
    <col min="5089" max="5090" width="9.5546875" style="105" customWidth="1"/>
    <col min="5091" max="5091" width="10.33203125" style="105" customWidth="1"/>
    <col min="5092" max="5092" width="3.109375" style="105" customWidth="1"/>
    <col min="5093" max="5097" width="10.88671875" style="105" customWidth="1"/>
    <col min="5098" max="5098" width="10.88671875" style="105"/>
    <col min="5099" max="5100" width="7.109375" style="105" customWidth="1"/>
    <col min="5101" max="5332" width="10.88671875" style="105"/>
    <col min="5333" max="5333" width="3.5546875" style="105" customWidth="1"/>
    <col min="5334" max="5335" width="9" style="105" customWidth="1"/>
    <col min="5336" max="5336" width="7" style="105" customWidth="1"/>
    <col min="5337" max="5337" width="13.33203125" style="105" customWidth="1"/>
    <col min="5338" max="5338" width="10" style="105" customWidth="1"/>
    <col min="5339" max="5339" width="11.44140625" style="105" customWidth="1"/>
    <col min="5340" max="5340" width="11.5546875" style="105" customWidth="1"/>
    <col min="5341" max="5341" width="9.109375" style="105" customWidth="1"/>
    <col min="5342" max="5343" width="9.44140625" style="105" customWidth="1"/>
    <col min="5344" max="5344" width="10.88671875" style="105" customWidth="1"/>
    <col min="5345" max="5346" width="9.5546875" style="105" customWidth="1"/>
    <col min="5347" max="5347" width="10.33203125" style="105" customWidth="1"/>
    <col min="5348" max="5348" width="3.109375" style="105" customWidth="1"/>
    <col min="5349" max="5353" width="10.88671875" style="105" customWidth="1"/>
    <col min="5354" max="5354" width="10.88671875" style="105"/>
    <col min="5355" max="5356" width="7.109375" style="105" customWidth="1"/>
    <col min="5357" max="5588" width="10.88671875" style="105"/>
    <col min="5589" max="5589" width="3.5546875" style="105" customWidth="1"/>
    <col min="5590" max="5591" width="9" style="105" customWidth="1"/>
    <col min="5592" max="5592" width="7" style="105" customWidth="1"/>
    <col min="5593" max="5593" width="13.33203125" style="105" customWidth="1"/>
    <col min="5594" max="5594" width="10" style="105" customWidth="1"/>
    <col min="5595" max="5595" width="11.44140625" style="105" customWidth="1"/>
    <col min="5596" max="5596" width="11.5546875" style="105" customWidth="1"/>
    <col min="5597" max="5597" width="9.109375" style="105" customWidth="1"/>
    <col min="5598" max="5599" width="9.44140625" style="105" customWidth="1"/>
    <col min="5600" max="5600" width="10.88671875" style="105" customWidth="1"/>
    <col min="5601" max="5602" width="9.5546875" style="105" customWidth="1"/>
    <col min="5603" max="5603" width="10.33203125" style="105" customWidth="1"/>
    <col min="5604" max="5604" width="3.109375" style="105" customWidth="1"/>
    <col min="5605" max="5609" width="10.88671875" style="105" customWidth="1"/>
    <col min="5610" max="5610" width="10.88671875" style="105"/>
    <col min="5611" max="5612" width="7.109375" style="105" customWidth="1"/>
    <col min="5613" max="5844" width="10.88671875" style="105"/>
    <col min="5845" max="5845" width="3.5546875" style="105" customWidth="1"/>
    <col min="5846" max="5847" width="9" style="105" customWidth="1"/>
    <col min="5848" max="5848" width="7" style="105" customWidth="1"/>
    <col min="5849" max="5849" width="13.33203125" style="105" customWidth="1"/>
    <col min="5850" max="5850" width="10" style="105" customWidth="1"/>
    <col min="5851" max="5851" width="11.44140625" style="105" customWidth="1"/>
    <col min="5852" max="5852" width="11.5546875" style="105" customWidth="1"/>
    <col min="5853" max="5853" width="9.109375" style="105" customWidth="1"/>
    <col min="5854" max="5855" width="9.44140625" style="105" customWidth="1"/>
    <col min="5856" max="5856" width="10.88671875" style="105" customWidth="1"/>
    <col min="5857" max="5858" width="9.5546875" style="105" customWidth="1"/>
    <col min="5859" max="5859" width="10.33203125" style="105" customWidth="1"/>
    <col min="5860" max="5860" width="3.109375" style="105" customWidth="1"/>
    <col min="5861" max="5865" width="10.88671875" style="105" customWidth="1"/>
    <col min="5866" max="5866" width="10.88671875" style="105"/>
    <col min="5867" max="5868" width="7.109375" style="105" customWidth="1"/>
    <col min="5869" max="6100" width="10.88671875" style="105"/>
    <col min="6101" max="6101" width="3.5546875" style="105" customWidth="1"/>
    <col min="6102" max="6103" width="9" style="105" customWidth="1"/>
    <col min="6104" max="6104" width="7" style="105" customWidth="1"/>
    <col min="6105" max="6105" width="13.33203125" style="105" customWidth="1"/>
    <col min="6106" max="6106" width="10" style="105" customWidth="1"/>
    <col min="6107" max="6107" width="11.44140625" style="105" customWidth="1"/>
    <col min="6108" max="6108" width="11.5546875" style="105" customWidth="1"/>
    <col min="6109" max="6109" width="9.109375" style="105" customWidth="1"/>
    <col min="6110" max="6111" width="9.44140625" style="105" customWidth="1"/>
    <col min="6112" max="6112" width="10.88671875" style="105" customWidth="1"/>
    <col min="6113" max="6114" width="9.5546875" style="105" customWidth="1"/>
    <col min="6115" max="6115" width="10.33203125" style="105" customWidth="1"/>
    <col min="6116" max="6116" width="3.109375" style="105" customWidth="1"/>
    <col min="6117" max="6121" width="10.88671875" style="105" customWidth="1"/>
    <col min="6122" max="6122" width="10.88671875" style="105"/>
    <col min="6123" max="6124" width="7.109375" style="105" customWidth="1"/>
    <col min="6125" max="6356" width="10.88671875" style="105"/>
    <col min="6357" max="6357" width="3.5546875" style="105" customWidth="1"/>
    <col min="6358" max="6359" width="9" style="105" customWidth="1"/>
    <col min="6360" max="6360" width="7" style="105" customWidth="1"/>
    <col min="6361" max="6361" width="13.33203125" style="105" customWidth="1"/>
    <col min="6362" max="6362" width="10" style="105" customWidth="1"/>
    <col min="6363" max="6363" width="11.44140625" style="105" customWidth="1"/>
    <col min="6364" max="6364" width="11.5546875" style="105" customWidth="1"/>
    <col min="6365" max="6365" width="9.109375" style="105" customWidth="1"/>
    <col min="6366" max="6367" width="9.44140625" style="105" customWidth="1"/>
    <col min="6368" max="6368" width="10.88671875" style="105" customWidth="1"/>
    <col min="6369" max="6370" width="9.5546875" style="105" customWidth="1"/>
    <col min="6371" max="6371" width="10.33203125" style="105" customWidth="1"/>
    <col min="6372" max="6372" width="3.109375" style="105" customWidth="1"/>
    <col min="6373" max="6377" width="10.88671875" style="105" customWidth="1"/>
    <col min="6378" max="6378" width="10.88671875" style="105"/>
    <col min="6379" max="6380" width="7.109375" style="105" customWidth="1"/>
    <col min="6381" max="6612" width="10.88671875" style="105"/>
    <col min="6613" max="6613" width="3.5546875" style="105" customWidth="1"/>
    <col min="6614" max="6615" width="9" style="105" customWidth="1"/>
    <col min="6616" max="6616" width="7" style="105" customWidth="1"/>
    <col min="6617" max="6617" width="13.33203125" style="105" customWidth="1"/>
    <col min="6618" max="6618" width="10" style="105" customWidth="1"/>
    <col min="6619" max="6619" width="11.44140625" style="105" customWidth="1"/>
    <col min="6620" max="6620" width="11.5546875" style="105" customWidth="1"/>
    <col min="6621" max="6621" width="9.109375" style="105" customWidth="1"/>
    <col min="6622" max="6623" width="9.44140625" style="105" customWidth="1"/>
    <col min="6624" max="6624" width="10.88671875" style="105" customWidth="1"/>
    <col min="6625" max="6626" width="9.5546875" style="105" customWidth="1"/>
    <col min="6627" max="6627" width="10.33203125" style="105" customWidth="1"/>
    <col min="6628" max="6628" width="3.109375" style="105" customWidth="1"/>
    <col min="6629" max="6633" width="10.88671875" style="105" customWidth="1"/>
    <col min="6634" max="6634" width="10.88671875" style="105"/>
    <col min="6635" max="6636" width="7.109375" style="105" customWidth="1"/>
    <col min="6637" max="6868" width="10.88671875" style="105"/>
    <col min="6869" max="6869" width="3.5546875" style="105" customWidth="1"/>
    <col min="6870" max="6871" width="9" style="105" customWidth="1"/>
    <col min="6872" max="6872" width="7" style="105" customWidth="1"/>
    <col min="6873" max="6873" width="13.33203125" style="105" customWidth="1"/>
    <col min="6874" max="6874" width="10" style="105" customWidth="1"/>
    <col min="6875" max="6875" width="11.44140625" style="105" customWidth="1"/>
    <col min="6876" max="6876" width="11.5546875" style="105" customWidth="1"/>
    <col min="6877" max="6877" width="9.109375" style="105" customWidth="1"/>
    <col min="6878" max="6879" width="9.44140625" style="105" customWidth="1"/>
    <col min="6880" max="6880" width="10.88671875" style="105" customWidth="1"/>
    <col min="6881" max="6882" width="9.5546875" style="105" customWidth="1"/>
    <col min="6883" max="6883" width="10.33203125" style="105" customWidth="1"/>
    <col min="6884" max="6884" width="3.109375" style="105" customWidth="1"/>
    <col min="6885" max="6889" width="10.88671875" style="105" customWidth="1"/>
    <col min="6890" max="6890" width="10.88671875" style="105"/>
    <col min="6891" max="6892" width="7.109375" style="105" customWidth="1"/>
    <col min="6893" max="7124" width="10.88671875" style="105"/>
    <col min="7125" max="7125" width="3.5546875" style="105" customWidth="1"/>
    <col min="7126" max="7127" width="9" style="105" customWidth="1"/>
    <col min="7128" max="7128" width="7" style="105" customWidth="1"/>
    <col min="7129" max="7129" width="13.33203125" style="105" customWidth="1"/>
    <col min="7130" max="7130" width="10" style="105" customWidth="1"/>
    <col min="7131" max="7131" width="11.44140625" style="105" customWidth="1"/>
    <col min="7132" max="7132" width="11.5546875" style="105" customWidth="1"/>
    <col min="7133" max="7133" width="9.109375" style="105" customWidth="1"/>
    <col min="7134" max="7135" width="9.44140625" style="105" customWidth="1"/>
    <col min="7136" max="7136" width="10.88671875" style="105" customWidth="1"/>
    <col min="7137" max="7138" width="9.5546875" style="105" customWidth="1"/>
    <col min="7139" max="7139" width="10.33203125" style="105" customWidth="1"/>
    <col min="7140" max="7140" width="3.109375" style="105" customWidth="1"/>
    <col min="7141" max="7145" width="10.88671875" style="105" customWidth="1"/>
    <col min="7146" max="7146" width="10.88671875" style="105"/>
    <col min="7147" max="7148" width="7.109375" style="105" customWidth="1"/>
    <col min="7149" max="7380" width="10.88671875" style="105"/>
    <col min="7381" max="7381" width="3.5546875" style="105" customWidth="1"/>
    <col min="7382" max="7383" width="9" style="105" customWidth="1"/>
    <col min="7384" max="7384" width="7" style="105" customWidth="1"/>
    <col min="7385" max="7385" width="13.33203125" style="105" customWidth="1"/>
    <col min="7386" max="7386" width="10" style="105" customWidth="1"/>
    <col min="7387" max="7387" width="11.44140625" style="105" customWidth="1"/>
    <col min="7388" max="7388" width="11.5546875" style="105" customWidth="1"/>
    <col min="7389" max="7389" width="9.109375" style="105" customWidth="1"/>
    <col min="7390" max="7391" width="9.44140625" style="105" customWidth="1"/>
    <col min="7392" max="7392" width="10.88671875" style="105" customWidth="1"/>
    <col min="7393" max="7394" width="9.5546875" style="105" customWidth="1"/>
    <col min="7395" max="7395" width="10.33203125" style="105" customWidth="1"/>
    <col min="7396" max="7396" width="3.109375" style="105" customWidth="1"/>
    <col min="7397" max="7401" width="10.88671875" style="105" customWidth="1"/>
    <col min="7402" max="7402" width="10.88671875" style="105"/>
    <col min="7403" max="7404" width="7.109375" style="105" customWidth="1"/>
    <col min="7405" max="7636" width="10.88671875" style="105"/>
    <col min="7637" max="7637" width="3.5546875" style="105" customWidth="1"/>
    <col min="7638" max="7639" width="9" style="105" customWidth="1"/>
    <col min="7640" max="7640" width="7" style="105" customWidth="1"/>
    <col min="7641" max="7641" width="13.33203125" style="105" customWidth="1"/>
    <col min="7642" max="7642" width="10" style="105" customWidth="1"/>
    <col min="7643" max="7643" width="11.44140625" style="105" customWidth="1"/>
    <col min="7644" max="7644" width="11.5546875" style="105" customWidth="1"/>
    <col min="7645" max="7645" width="9.109375" style="105" customWidth="1"/>
    <col min="7646" max="7647" width="9.44140625" style="105" customWidth="1"/>
    <col min="7648" max="7648" width="10.88671875" style="105" customWidth="1"/>
    <col min="7649" max="7650" width="9.5546875" style="105" customWidth="1"/>
    <col min="7651" max="7651" width="10.33203125" style="105" customWidth="1"/>
    <col min="7652" max="7652" width="3.109375" style="105" customWidth="1"/>
    <col min="7653" max="7657" width="10.88671875" style="105" customWidth="1"/>
    <col min="7658" max="7658" width="10.88671875" style="105"/>
    <col min="7659" max="7660" width="7.109375" style="105" customWidth="1"/>
    <col min="7661" max="7892" width="10.88671875" style="105"/>
    <col min="7893" max="7893" width="3.5546875" style="105" customWidth="1"/>
    <col min="7894" max="7895" width="9" style="105" customWidth="1"/>
    <col min="7896" max="7896" width="7" style="105" customWidth="1"/>
    <col min="7897" max="7897" width="13.33203125" style="105" customWidth="1"/>
    <col min="7898" max="7898" width="10" style="105" customWidth="1"/>
    <col min="7899" max="7899" width="11.44140625" style="105" customWidth="1"/>
    <col min="7900" max="7900" width="11.5546875" style="105" customWidth="1"/>
    <col min="7901" max="7901" width="9.109375" style="105" customWidth="1"/>
    <col min="7902" max="7903" width="9.44140625" style="105" customWidth="1"/>
    <col min="7904" max="7904" width="10.88671875" style="105" customWidth="1"/>
    <col min="7905" max="7906" width="9.5546875" style="105" customWidth="1"/>
    <col min="7907" max="7907" width="10.33203125" style="105" customWidth="1"/>
    <col min="7908" max="7908" width="3.109375" style="105" customWidth="1"/>
    <col min="7909" max="7913" width="10.88671875" style="105" customWidth="1"/>
    <col min="7914" max="7914" width="10.88671875" style="105"/>
    <col min="7915" max="7916" width="7.109375" style="105" customWidth="1"/>
    <col min="7917" max="8148" width="10.88671875" style="105"/>
    <col min="8149" max="8149" width="3.5546875" style="105" customWidth="1"/>
    <col min="8150" max="8151" width="9" style="105" customWidth="1"/>
    <col min="8152" max="8152" width="7" style="105" customWidth="1"/>
    <col min="8153" max="8153" width="13.33203125" style="105" customWidth="1"/>
    <col min="8154" max="8154" width="10" style="105" customWidth="1"/>
    <col min="8155" max="8155" width="11.44140625" style="105" customWidth="1"/>
    <col min="8156" max="8156" width="11.5546875" style="105" customWidth="1"/>
    <col min="8157" max="8157" width="9.109375" style="105" customWidth="1"/>
    <col min="8158" max="8159" width="9.44140625" style="105" customWidth="1"/>
    <col min="8160" max="8160" width="10.88671875" style="105" customWidth="1"/>
    <col min="8161" max="8162" width="9.5546875" style="105" customWidth="1"/>
    <col min="8163" max="8163" width="10.33203125" style="105" customWidth="1"/>
    <col min="8164" max="8164" width="3.109375" style="105" customWidth="1"/>
    <col min="8165" max="8169" width="10.88671875" style="105" customWidth="1"/>
    <col min="8170" max="8170" width="10.88671875" style="105"/>
    <col min="8171" max="8172" width="7.109375" style="105" customWidth="1"/>
    <col min="8173" max="8404" width="10.88671875" style="105"/>
    <col min="8405" max="8405" width="3.5546875" style="105" customWidth="1"/>
    <col min="8406" max="8407" width="9" style="105" customWidth="1"/>
    <col min="8408" max="8408" width="7" style="105" customWidth="1"/>
    <col min="8409" max="8409" width="13.33203125" style="105" customWidth="1"/>
    <col min="8410" max="8410" width="10" style="105" customWidth="1"/>
    <col min="8411" max="8411" width="11.44140625" style="105" customWidth="1"/>
    <col min="8412" max="8412" width="11.5546875" style="105" customWidth="1"/>
    <col min="8413" max="8413" width="9.109375" style="105" customWidth="1"/>
    <col min="8414" max="8415" width="9.44140625" style="105" customWidth="1"/>
    <col min="8416" max="8416" width="10.88671875" style="105" customWidth="1"/>
    <col min="8417" max="8418" width="9.5546875" style="105" customWidth="1"/>
    <col min="8419" max="8419" width="10.33203125" style="105" customWidth="1"/>
    <col min="8420" max="8420" width="3.109375" style="105" customWidth="1"/>
    <col min="8421" max="8425" width="10.88671875" style="105" customWidth="1"/>
    <col min="8426" max="8426" width="10.88671875" style="105"/>
    <col min="8427" max="8428" width="7.109375" style="105" customWidth="1"/>
    <col min="8429" max="8660" width="10.88671875" style="105"/>
    <col min="8661" max="8661" width="3.5546875" style="105" customWidth="1"/>
    <col min="8662" max="8663" width="9" style="105" customWidth="1"/>
    <col min="8664" max="8664" width="7" style="105" customWidth="1"/>
    <col min="8665" max="8665" width="13.33203125" style="105" customWidth="1"/>
    <col min="8666" max="8666" width="10" style="105" customWidth="1"/>
    <col min="8667" max="8667" width="11.44140625" style="105" customWidth="1"/>
    <col min="8668" max="8668" width="11.5546875" style="105" customWidth="1"/>
    <col min="8669" max="8669" width="9.109375" style="105" customWidth="1"/>
    <col min="8670" max="8671" width="9.44140625" style="105" customWidth="1"/>
    <col min="8672" max="8672" width="10.88671875" style="105" customWidth="1"/>
    <col min="8673" max="8674" width="9.5546875" style="105" customWidth="1"/>
    <col min="8675" max="8675" width="10.33203125" style="105" customWidth="1"/>
    <col min="8676" max="8676" width="3.109375" style="105" customWidth="1"/>
    <col min="8677" max="8681" width="10.88671875" style="105" customWidth="1"/>
    <col min="8682" max="8682" width="10.88671875" style="105"/>
    <col min="8683" max="8684" width="7.109375" style="105" customWidth="1"/>
    <col min="8685" max="8916" width="10.88671875" style="105"/>
    <col min="8917" max="8917" width="3.5546875" style="105" customWidth="1"/>
    <col min="8918" max="8919" width="9" style="105" customWidth="1"/>
    <col min="8920" max="8920" width="7" style="105" customWidth="1"/>
    <col min="8921" max="8921" width="13.33203125" style="105" customWidth="1"/>
    <col min="8922" max="8922" width="10" style="105" customWidth="1"/>
    <col min="8923" max="8923" width="11.44140625" style="105" customWidth="1"/>
    <col min="8924" max="8924" width="11.5546875" style="105" customWidth="1"/>
    <col min="8925" max="8925" width="9.109375" style="105" customWidth="1"/>
    <col min="8926" max="8927" width="9.44140625" style="105" customWidth="1"/>
    <col min="8928" max="8928" width="10.88671875" style="105" customWidth="1"/>
    <col min="8929" max="8930" width="9.5546875" style="105" customWidth="1"/>
    <col min="8931" max="8931" width="10.33203125" style="105" customWidth="1"/>
    <col min="8932" max="8932" width="3.109375" style="105" customWidth="1"/>
    <col min="8933" max="8937" width="10.88671875" style="105" customWidth="1"/>
    <col min="8938" max="8938" width="10.88671875" style="105"/>
    <col min="8939" max="8940" width="7.109375" style="105" customWidth="1"/>
    <col min="8941" max="9172" width="10.88671875" style="105"/>
    <col min="9173" max="9173" width="3.5546875" style="105" customWidth="1"/>
    <col min="9174" max="9175" width="9" style="105" customWidth="1"/>
    <col min="9176" max="9176" width="7" style="105" customWidth="1"/>
    <col min="9177" max="9177" width="13.33203125" style="105" customWidth="1"/>
    <col min="9178" max="9178" width="10" style="105" customWidth="1"/>
    <col min="9179" max="9179" width="11.44140625" style="105" customWidth="1"/>
    <col min="9180" max="9180" width="11.5546875" style="105" customWidth="1"/>
    <col min="9181" max="9181" width="9.109375" style="105" customWidth="1"/>
    <col min="9182" max="9183" width="9.44140625" style="105" customWidth="1"/>
    <col min="9184" max="9184" width="10.88671875" style="105" customWidth="1"/>
    <col min="9185" max="9186" width="9.5546875" style="105" customWidth="1"/>
    <col min="9187" max="9187" width="10.33203125" style="105" customWidth="1"/>
    <col min="9188" max="9188" width="3.109375" style="105" customWidth="1"/>
    <col min="9189" max="9193" width="10.88671875" style="105" customWidth="1"/>
    <col min="9194" max="9194" width="10.88671875" style="105"/>
    <col min="9195" max="9196" width="7.109375" style="105" customWidth="1"/>
    <col min="9197" max="9428" width="10.88671875" style="105"/>
    <col min="9429" max="9429" width="3.5546875" style="105" customWidth="1"/>
    <col min="9430" max="9431" width="9" style="105" customWidth="1"/>
    <col min="9432" max="9432" width="7" style="105" customWidth="1"/>
    <col min="9433" max="9433" width="13.33203125" style="105" customWidth="1"/>
    <col min="9434" max="9434" width="10" style="105" customWidth="1"/>
    <col min="9435" max="9435" width="11.44140625" style="105" customWidth="1"/>
    <col min="9436" max="9436" width="11.5546875" style="105" customWidth="1"/>
    <col min="9437" max="9437" width="9.109375" style="105" customWidth="1"/>
    <col min="9438" max="9439" width="9.44140625" style="105" customWidth="1"/>
    <col min="9440" max="9440" width="10.88671875" style="105" customWidth="1"/>
    <col min="9441" max="9442" width="9.5546875" style="105" customWidth="1"/>
    <col min="9443" max="9443" width="10.33203125" style="105" customWidth="1"/>
    <col min="9444" max="9444" width="3.109375" style="105" customWidth="1"/>
    <col min="9445" max="9449" width="10.88671875" style="105" customWidth="1"/>
    <col min="9450" max="9450" width="10.88671875" style="105"/>
    <col min="9451" max="9452" width="7.109375" style="105" customWidth="1"/>
    <col min="9453" max="9684" width="10.88671875" style="105"/>
    <col min="9685" max="9685" width="3.5546875" style="105" customWidth="1"/>
    <col min="9686" max="9687" width="9" style="105" customWidth="1"/>
    <col min="9688" max="9688" width="7" style="105" customWidth="1"/>
    <col min="9689" max="9689" width="13.33203125" style="105" customWidth="1"/>
    <col min="9690" max="9690" width="10" style="105" customWidth="1"/>
    <col min="9691" max="9691" width="11.44140625" style="105" customWidth="1"/>
    <col min="9692" max="9692" width="11.5546875" style="105" customWidth="1"/>
    <col min="9693" max="9693" width="9.109375" style="105" customWidth="1"/>
    <col min="9694" max="9695" width="9.44140625" style="105" customWidth="1"/>
    <col min="9696" max="9696" width="10.88671875" style="105" customWidth="1"/>
    <col min="9697" max="9698" width="9.5546875" style="105" customWidth="1"/>
    <col min="9699" max="9699" width="10.33203125" style="105" customWidth="1"/>
    <col min="9700" max="9700" width="3.109375" style="105" customWidth="1"/>
    <col min="9701" max="9705" width="10.88671875" style="105" customWidth="1"/>
    <col min="9706" max="9706" width="10.88671875" style="105"/>
    <col min="9707" max="9708" width="7.109375" style="105" customWidth="1"/>
    <col min="9709" max="9940" width="10.88671875" style="105"/>
    <col min="9941" max="9941" width="3.5546875" style="105" customWidth="1"/>
    <col min="9942" max="9943" width="9" style="105" customWidth="1"/>
    <col min="9944" max="9944" width="7" style="105" customWidth="1"/>
    <col min="9945" max="9945" width="13.33203125" style="105" customWidth="1"/>
    <col min="9946" max="9946" width="10" style="105" customWidth="1"/>
    <col min="9947" max="9947" width="11.44140625" style="105" customWidth="1"/>
    <col min="9948" max="9948" width="11.5546875" style="105" customWidth="1"/>
    <col min="9949" max="9949" width="9.109375" style="105" customWidth="1"/>
    <col min="9950" max="9951" width="9.44140625" style="105" customWidth="1"/>
    <col min="9952" max="9952" width="10.88671875" style="105" customWidth="1"/>
    <col min="9953" max="9954" width="9.5546875" style="105" customWidth="1"/>
    <col min="9955" max="9955" width="10.33203125" style="105" customWidth="1"/>
    <col min="9956" max="9956" width="3.109375" style="105" customWidth="1"/>
    <col min="9957" max="9961" width="10.88671875" style="105" customWidth="1"/>
    <col min="9962" max="9962" width="10.88671875" style="105"/>
    <col min="9963" max="9964" width="7.109375" style="105" customWidth="1"/>
    <col min="9965" max="10196" width="10.88671875" style="105"/>
    <col min="10197" max="10197" width="3.5546875" style="105" customWidth="1"/>
    <col min="10198" max="10199" width="9" style="105" customWidth="1"/>
    <col min="10200" max="10200" width="7" style="105" customWidth="1"/>
    <col min="10201" max="10201" width="13.33203125" style="105" customWidth="1"/>
    <col min="10202" max="10202" width="10" style="105" customWidth="1"/>
    <col min="10203" max="10203" width="11.44140625" style="105" customWidth="1"/>
    <col min="10204" max="10204" width="11.5546875" style="105" customWidth="1"/>
    <col min="10205" max="10205" width="9.109375" style="105" customWidth="1"/>
    <col min="10206" max="10207" width="9.44140625" style="105" customWidth="1"/>
    <col min="10208" max="10208" width="10.88671875" style="105" customWidth="1"/>
    <col min="10209" max="10210" width="9.5546875" style="105" customWidth="1"/>
    <col min="10211" max="10211" width="10.33203125" style="105" customWidth="1"/>
    <col min="10212" max="10212" width="3.109375" style="105" customWidth="1"/>
    <col min="10213" max="10217" width="10.88671875" style="105" customWidth="1"/>
    <col min="10218" max="10218" width="10.88671875" style="105"/>
    <col min="10219" max="10220" width="7.109375" style="105" customWidth="1"/>
    <col min="10221" max="10452" width="10.88671875" style="105"/>
    <col min="10453" max="10453" width="3.5546875" style="105" customWidth="1"/>
    <col min="10454" max="10455" width="9" style="105" customWidth="1"/>
    <col min="10456" max="10456" width="7" style="105" customWidth="1"/>
    <col min="10457" max="10457" width="13.33203125" style="105" customWidth="1"/>
    <col min="10458" max="10458" width="10" style="105" customWidth="1"/>
    <col min="10459" max="10459" width="11.44140625" style="105" customWidth="1"/>
    <col min="10460" max="10460" width="11.5546875" style="105" customWidth="1"/>
    <col min="10461" max="10461" width="9.109375" style="105" customWidth="1"/>
    <col min="10462" max="10463" width="9.44140625" style="105" customWidth="1"/>
    <col min="10464" max="10464" width="10.88671875" style="105" customWidth="1"/>
    <col min="10465" max="10466" width="9.5546875" style="105" customWidth="1"/>
    <col min="10467" max="10467" width="10.33203125" style="105" customWidth="1"/>
    <col min="10468" max="10468" width="3.109375" style="105" customWidth="1"/>
    <col min="10469" max="10473" width="10.88671875" style="105" customWidth="1"/>
    <col min="10474" max="10474" width="10.88671875" style="105"/>
    <col min="10475" max="10476" width="7.109375" style="105" customWidth="1"/>
    <col min="10477" max="10708" width="10.88671875" style="105"/>
    <col min="10709" max="10709" width="3.5546875" style="105" customWidth="1"/>
    <col min="10710" max="10711" width="9" style="105" customWidth="1"/>
    <col min="10712" max="10712" width="7" style="105" customWidth="1"/>
    <col min="10713" max="10713" width="13.33203125" style="105" customWidth="1"/>
    <col min="10714" max="10714" width="10" style="105" customWidth="1"/>
    <col min="10715" max="10715" width="11.44140625" style="105" customWidth="1"/>
    <col min="10716" max="10716" width="11.5546875" style="105" customWidth="1"/>
    <col min="10717" max="10717" width="9.109375" style="105" customWidth="1"/>
    <col min="10718" max="10719" width="9.44140625" style="105" customWidth="1"/>
    <col min="10720" max="10720" width="10.88671875" style="105" customWidth="1"/>
    <col min="10721" max="10722" width="9.5546875" style="105" customWidth="1"/>
    <col min="10723" max="10723" width="10.33203125" style="105" customWidth="1"/>
    <col min="10724" max="10724" width="3.109375" style="105" customWidth="1"/>
    <col min="10725" max="10729" width="10.88671875" style="105" customWidth="1"/>
    <col min="10730" max="10730" width="10.88671875" style="105"/>
    <col min="10731" max="10732" width="7.109375" style="105" customWidth="1"/>
    <col min="10733" max="10964" width="10.88671875" style="105"/>
    <col min="10965" max="10965" width="3.5546875" style="105" customWidth="1"/>
    <col min="10966" max="10967" width="9" style="105" customWidth="1"/>
    <col min="10968" max="10968" width="7" style="105" customWidth="1"/>
    <col min="10969" max="10969" width="13.33203125" style="105" customWidth="1"/>
    <col min="10970" max="10970" width="10" style="105" customWidth="1"/>
    <col min="10971" max="10971" width="11.44140625" style="105" customWidth="1"/>
    <col min="10972" max="10972" width="11.5546875" style="105" customWidth="1"/>
    <col min="10973" max="10973" width="9.109375" style="105" customWidth="1"/>
    <col min="10974" max="10975" width="9.44140625" style="105" customWidth="1"/>
    <col min="10976" max="10976" width="10.88671875" style="105" customWidth="1"/>
    <col min="10977" max="10978" width="9.5546875" style="105" customWidth="1"/>
    <col min="10979" max="10979" width="10.33203125" style="105" customWidth="1"/>
    <col min="10980" max="10980" width="3.109375" style="105" customWidth="1"/>
    <col min="10981" max="10985" width="10.88671875" style="105" customWidth="1"/>
    <col min="10986" max="10986" width="10.88671875" style="105"/>
    <col min="10987" max="10988" width="7.109375" style="105" customWidth="1"/>
    <col min="10989" max="11220" width="10.88671875" style="105"/>
    <col min="11221" max="11221" width="3.5546875" style="105" customWidth="1"/>
    <col min="11222" max="11223" width="9" style="105" customWidth="1"/>
    <col min="11224" max="11224" width="7" style="105" customWidth="1"/>
    <col min="11225" max="11225" width="13.33203125" style="105" customWidth="1"/>
    <col min="11226" max="11226" width="10" style="105" customWidth="1"/>
    <col min="11227" max="11227" width="11.44140625" style="105" customWidth="1"/>
    <col min="11228" max="11228" width="11.5546875" style="105" customWidth="1"/>
    <col min="11229" max="11229" width="9.109375" style="105" customWidth="1"/>
    <col min="11230" max="11231" width="9.44140625" style="105" customWidth="1"/>
    <col min="11232" max="11232" width="10.88671875" style="105" customWidth="1"/>
    <col min="11233" max="11234" width="9.5546875" style="105" customWidth="1"/>
    <col min="11235" max="11235" width="10.33203125" style="105" customWidth="1"/>
    <col min="11236" max="11236" width="3.109375" style="105" customWidth="1"/>
    <col min="11237" max="11241" width="10.88671875" style="105" customWidth="1"/>
    <col min="11242" max="11242" width="10.88671875" style="105"/>
    <col min="11243" max="11244" width="7.109375" style="105" customWidth="1"/>
    <col min="11245" max="11476" width="10.88671875" style="105"/>
    <col min="11477" max="11477" width="3.5546875" style="105" customWidth="1"/>
    <col min="11478" max="11479" width="9" style="105" customWidth="1"/>
    <col min="11480" max="11480" width="7" style="105" customWidth="1"/>
    <col min="11481" max="11481" width="13.33203125" style="105" customWidth="1"/>
    <col min="11482" max="11482" width="10" style="105" customWidth="1"/>
    <col min="11483" max="11483" width="11.44140625" style="105" customWidth="1"/>
    <col min="11484" max="11484" width="11.5546875" style="105" customWidth="1"/>
    <col min="11485" max="11485" width="9.109375" style="105" customWidth="1"/>
    <col min="11486" max="11487" width="9.44140625" style="105" customWidth="1"/>
    <col min="11488" max="11488" width="10.88671875" style="105" customWidth="1"/>
    <col min="11489" max="11490" width="9.5546875" style="105" customWidth="1"/>
    <col min="11491" max="11491" width="10.33203125" style="105" customWidth="1"/>
    <col min="11492" max="11492" width="3.109375" style="105" customWidth="1"/>
    <col min="11493" max="11497" width="10.88671875" style="105" customWidth="1"/>
    <col min="11498" max="11498" width="10.88671875" style="105"/>
    <col min="11499" max="11500" width="7.109375" style="105" customWidth="1"/>
    <col min="11501" max="11732" width="10.88671875" style="105"/>
    <col min="11733" max="11733" width="3.5546875" style="105" customWidth="1"/>
    <col min="11734" max="11735" width="9" style="105" customWidth="1"/>
    <col min="11736" max="11736" width="7" style="105" customWidth="1"/>
    <col min="11737" max="11737" width="13.33203125" style="105" customWidth="1"/>
    <col min="11738" max="11738" width="10" style="105" customWidth="1"/>
    <col min="11739" max="11739" width="11.44140625" style="105" customWidth="1"/>
    <col min="11740" max="11740" width="11.5546875" style="105" customWidth="1"/>
    <col min="11741" max="11741" width="9.109375" style="105" customWidth="1"/>
    <col min="11742" max="11743" width="9.44140625" style="105" customWidth="1"/>
    <col min="11744" max="11744" width="10.88671875" style="105" customWidth="1"/>
    <col min="11745" max="11746" width="9.5546875" style="105" customWidth="1"/>
    <col min="11747" max="11747" width="10.33203125" style="105" customWidth="1"/>
    <col min="11748" max="11748" width="3.109375" style="105" customWidth="1"/>
    <col min="11749" max="11753" width="10.88671875" style="105" customWidth="1"/>
    <col min="11754" max="11754" width="10.88671875" style="105"/>
    <col min="11755" max="11756" width="7.109375" style="105" customWidth="1"/>
    <col min="11757" max="11988" width="10.88671875" style="105"/>
    <col min="11989" max="11989" width="3.5546875" style="105" customWidth="1"/>
    <col min="11990" max="11991" width="9" style="105" customWidth="1"/>
    <col min="11992" max="11992" width="7" style="105" customWidth="1"/>
    <col min="11993" max="11993" width="13.33203125" style="105" customWidth="1"/>
    <col min="11994" max="11994" width="10" style="105" customWidth="1"/>
    <col min="11995" max="11995" width="11.44140625" style="105" customWidth="1"/>
    <col min="11996" max="11996" width="11.5546875" style="105" customWidth="1"/>
    <col min="11997" max="11997" width="9.109375" style="105" customWidth="1"/>
    <col min="11998" max="11999" width="9.44140625" style="105" customWidth="1"/>
    <col min="12000" max="12000" width="10.88671875" style="105" customWidth="1"/>
    <col min="12001" max="12002" width="9.5546875" style="105" customWidth="1"/>
    <col min="12003" max="12003" width="10.33203125" style="105" customWidth="1"/>
    <col min="12004" max="12004" width="3.109375" style="105" customWidth="1"/>
    <col min="12005" max="12009" width="10.88671875" style="105" customWidth="1"/>
    <col min="12010" max="12010" width="10.88671875" style="105"/>
    <col min="12011" max="12012" width="7.109375" style="105" customWidth="1"/>
    <col min="12013" max="12244" width="10.88671875" style="105"/>
    <col min="12245" max="12245" width="3.5546875" style="105" customWidth="1"/>
    <col min="12246" max="12247" width="9" style="105" customWidth="1"/>
    <col min="12248" max="12248" width="7" style="105" customWidth="1"/>
    <col min="12249" max="12249" width="13.33203125" style="105" customWidth="1"/>
    <col min="12250" max="12250" width="10" style="105" customWidth="1"/>
    <col min="12251" max="12251" width="11.44140625" style="105" customWidth="1"/>
    <col min="12252" max="12252" width="11.5546875" style="105" customWidth="1"/>
    <col min="12253" max="12253" width="9.109375" style="105" customWidth="1"/>
    <col min="12254" max="12255" width="9.44140625" style="105" customWidth="1"/>
    <col min="12256" max="12256" width="10.88671875" style="105" customWidth="1"/>
    <col min="12257" max="12258" width="9.5546875" style="105" customWidth="1"/>
    <col min="12259" max="12259" width="10.33203125" style="105" customWidth="1"/>
    <col min="12260" max="12260" width="3.109375" style="105" customWidth="1"/>
    <col min="12261" max="12265" width="10.88671875" style="105" customWidth="1"/>
    <col min="12266" max="12266" width="10.88671875" style="105"/>
    <col min="12267" max="12268" width="7.109375" style="105" customWidth="1"/>
    <col min="12269" max="12500" width="10.88671875" style="105"/>
    <col min="12501" max="12501" width="3.5546875" style="105" customWidth="1"/>
    <col min="12502" max="12503" width="9" style="105" customWidth="1"/>
    <col min="12504" max="12504" width="7" style="105" customWidth="1"/>
    <col min="12505" max="12505" width="13.33203125" style="105" customWidth="1"/>
    <col min="12506" max="12506" width="10" style="105" customWidth="1"/>
    <col min="12507" max="12507" width="11.44140625" style="105" customWidth="1"/>
    <col min="12508" max="12508" width="11.5546875" style="105" customWidth="1"/>
    <col min="12509" max="12509" width="9.109375" style="105" customWidth="1"/>
    <col min="12510" max="12511" width="9.44140625" style="105" customWidth="1"/>
    <col min="12512" max="12512" width="10.88671875" style="105" customWidth="1"/>
    <col min="12513" max="12514" width="9.5546875" style="105" customWidth="1"/>
    <col min="12515" max="12515" width="10.33203125" style="105" customWidth="1"/>
    <col min="12516" max="12516" width="3.109375" style="105" customWidth="1"/>
    <col min="12517" max="12521" width="10.88671875" style="105" customWidth="1"/>
    <col min="12522" max="12522" width="10.88671875" style="105"/>
    <col min="12523" max="12524" width="7.109375" style="105" customWidth="1"/>
    <col min="12525" max="12756" width="10.88671875" style="105"/>
    <col min="12757" max="12757" width="3.5546875" style="105" customWidth="1"/>
    <col min="12758" max="12759" width="9" style="105" customWidth="1"/>
    <col min="12760" max="12760" width="7" style="105" customWidth="1"/>
    <col min="12761" max="12761" width="13.33203125" style="105" customWidth="1"/>
    <col min="12762" max="12762" width="10" style="105" customWidth="1"/>
    <col min="12763" max="12763" width="11.44140625" style="105" customWidth="1"/>
    <col min="12764" max="12764" width="11.5546875" style="105" customWidth="1"/>
    <col min="12765" max="12765" width="9.109375" style="105" customWidth="1"/>
    <col min="12766" max="12767" width="9.44140625" style="105" customWidth="1"/>
    <col min="12768" max="12768" width="10.88671875" style="105" customWidth="1"/>
    <col min="12769" max="12770" width="9.5546875" style="105" customWidth="1"/>
    <col min="12771" max="12771" width="10.33203125" style="105" customWidth="1"/>
    <col min="12772" max="12772" width="3.109375" style="105" customWidth="1"/>
    <col min="12773" max="12777" width="10.88671875" style="105" customWidth="1"/>
    <col min="12778" max="12778" width="10.88671875" style="105"/>
    <col min="12779" max="12780" width="7.109375" style="105" customWidth="1"/>
    <col min="12781" max="13012" width="10.88671875" style="105"/>
    <col min="13013" max="13013" width="3.5546875" style="105" customWidth="1"/>
    <col min="13014" max="13015" width="9" style="105" customWidth="1"/>
    <col min="13016" max="13016" width="7" style="105" customWidth="1"/>
    <col min="13017" max="13017" width="13.33203125" style="105" customWidth="1"/>
    <col min="13018" max="13018" width="10" style="105" customWidth="1"/>
    <col min="13019" max="13019" width="11.44140625" style="105" customWidth="1"/>
    <col min="13020" max="13020" width="11.5546875" style="105" customWidth="1"/>
    <col min="13021" max="13021" width="9.109375" style="105" customWidth="1"/>
    <col min="13022" max="13023" width="9.44140625" style="105" customWidth="1"/>
    <col min="13024" max="13024" width="10.88671875" style="105" customWidth="1"/>
    <col min="13025" max="13026" width="9.5546875" style="105" customWidth="1"/>
    <col min="13027" max="13027" width="10.33203125" style="105" customWidth="1"/>
    <col min="13028" max="13028" width="3.109375" style="105" customWidth="1"/>
    <col min="13029" max="13033" width="10.88671875" style="105" customWidth="1"/>
    <col min="13034" max="13034" width="10.88671875" style="105"/>
    <col min="13035" max="13036" width="7.109375" style="105" customWidth="1"/>
    <col min="13037" max="13268" width="10.88671875" style="105"/>
    <col min="13269" max="13269" width="3.5546875" style="105" customWidth="1"/>
    <col min="13270" max="13271" width="9" style="105" customWidth="1"/>
    <col min="13272" max="13272" width="7" style="105" customWidth="1"/>
    <col min="13273" max="13273" width="13.33203125" style="105" customWidth="1"/>
    <col min="13274" max="13274" width="10" style="105" customWidth="1"/>
    <col min="13275" max="13275" width="11.44140625" style="105" customWidth="1"/>
    <col min="13276" max="13276" width="11.5546875" style="105" customWidth="1"/>
    <col min="13277" max="13277" width="9.109375" style="105" customWidth="1"/>
    <col min="13278" max="13279" width="9.44140625" style="105" customWidth="1"/>
    <col min="13280" max="13280" width="10.88671875" style="105" customWidth="1"/>
    <col min="13281" max="13282" width="9.5546875" style="105" customWidth="1"/>
    <col min="13283" max="13283" width="10.33203125" style="105" customWidth="1"/>
    <col min="13284" max="13284" width="3.109375" style="105" customWidth="1"/>
    <col min="13285" max="13289" width="10.88671875" style="105" customWidth="1"/>
    <col min="13290" max="13290" width="10.88671875" style="105"/>
    <col min="13291" max="13292" width="7.109375" style="105" customWidth="1"/>
    <col min="13293" max="13524" width="10.88671875" style="105"/>
    <col min="13525" max="13525" width="3.5546875" style="105" customWidth="1"/>
    <col min="13526" max="13527" width="9" style="105" customWidth="1"/>
    <col min="13528" max="13528" width="7" style="105" customWidth="1"/>
    <col min="13529" max="13529" width="13.33203125" style="105" customWidth="1"/>
    <col min="13530" max="13530" width="10" style="105" customWidth="1"/>
    <col min="13531" max="13531" width="11.44140625" style="105" customWidth="1"/>
    <col min="13532" max="13532" width="11.5546875" style="105" customWidth="1"/>
    <col min="13533" max="13533" width="9.109375" style="105" customWidth="1"/>
    <col min="13534" max="13535" width="9.44140625" style="105" customWidth="1"/>
    <col min="13536" max="13536" width="10.88671875" style="105" customWidth="1"/>
    <col min="13537" max="13538" width="9.5546875" style="105" customWidth="1"/>
    <col min="13539" max="13539" width="10.33203125" style="105" customWidth="1"/>
    <col min="13540" max="13540" width="3.109375" style="105" customWidth="1"/>
    <col min="13541" max="13545" width="10.88671875" style="105" customWidth="1"/>
    <col min="13546" max="13546" width="10.88671875" style="105"/>
    <col min="13547" max="13548" width="7.109375" style="105" customWidth="1"/>
    <col min="13549" max="13780" width="10.88671875" style="105"/>
    <col min="13781" max="13781" width="3.5546875" style="105" customWidth="1"/>
    <col min="13782" max="13783" width="9" style="105" customWidth="1"/>
    <col min="13784" max="13784" width="7" style="105" customWidth="1"/>
    <col min="13785" max="13785" width="13.33203125" style="105" customWidth="1"/>
    <col min="13786" max="13786" width="10" style="105" customWidth="1"/>
    <col min="13787" max="13787" width="11.44140625" style="105" customWidth="1"/>
    <col min="13788" max="13788" width="11.5546875" style="105" customWidth="1"/>
    <col min="13789" max="13789" width="9.109375" style="105" customWidth="1"/>
    <col min="13790" max="13791" width="9.44140625" style="105" customWidth="1"/>
    <col min="13792" max="13792" width="10.88671875" style="105" customWidth="1"/>
    <col min="13793" max="13794" width="9.5546875" style="105" customWidth="1"/>
    <col min="13795" max="13795" width="10.33203125" style="105" customWidth="1"/>
    <col min="13796" max="13796" width="3.109375" style="105" customWidth="1"/>
    <col min="13797" max="13801" width="10.88671875" style="105" customWidth="1"/>
    <col min="13802" max="13802" width="10.88671875" style="105"/>
    <col min="13803" max="13804" width="7.109375" style="105" customWidth="1"/>
    <col min="13805" max="14036" width="10.88671875" style="105"/>
    <col min="14037" max="14037" width="3.5546875" style="105" customWidth="1"/>
    <col min="14038" max="14039" width="9" style="105" customWidth="1"/>
    <col min="14040" max="14040" width="7" style="105" customWidth="1"/>
    <col min="14041" max="14041" width="13.33203125" style="105" customWidth="1"/>
    <col min="14042" max="14042" width="10" style="105" customWidth="1"/>
    <col min="14043" max="14043" width="11.44140625" style="105" customWidth="1"/>
    <col min="14044" max="14044" width="11.5546875" style="105" customWidth="1"/>
    <col min="14045" max="14045" width="9.109375" style="105" customWidth="1"/>
    <col min="14046" max="14047" width="9.44140625" style="105" customWidth="1"/>
    <col min="14048" max="14048" width="10.88671875" style="105" customWidth="1"/>
    <col min="14049" max="14050" width="9.5546875" style="105" customWidth="1"/>
    <col min="14051" max="14051" width="10.33203125" style="105" customWidth="1"/>
    <col min="14052" max="14052" width="3.109375" style="105" customWidth="1"/>
    <col min="14053" max="14057" width="10.88671875" style="105" customWidth="1"/>
    <col min="14058" max="14058" width="10.88671875" style="105"/>
    <col min="14059" max="14060" width="7.109375" style="105" customWidth="1"/>
    <col min="14061" max="14292" width="10.88671875" style="105"/>
    <col min="14293" max="14293" width="3.5546875" style="105" customWidth="1"/>
    <col min="14294" max="14295" width="9" style="105" customWidth="1"/>
    <col min="14296" max="14296" width="7" style="105" customWidth="1"/>
    <col min="14297" max="14297" width="13.33203125" style="105" customWidth="1"/>
    <col min="14298" max="14298" width="10" style="105" customWidth="1"/>
    <col min="14299" max="14299" width="11.44140625" style="105" customWidth="1"/>
    <col min="14300" max="14300" width="11.5546875" style="105" customWidth="1"/>
    <col min="14301" max="14301" width="9.109375" style="105" customWidth="1"/>
    <col min="14302" max="14303" width="9.44140625" style="105" customWidth="1"/>
    <col min="14304" max="14304" width="10.88671875" style="105" customWidth="1"/>
    <col min="14305" max="14306" width="9.5546875" style="105" customWidth="1"/>
    <col min="14307" max="14307" width="10.33203125" style="105" customWidth="1"/>
    <col min="14308" max="14308" width="3.109375" style="105" customWidth="1"/>
    <col min="14309" max="14313" width="10.88671875" style="105" customWidth="1"/>
    <col min="14314" max="14314" width="10.88671875" style="105"/>
    <col min="14315" max="14316" width="7.109375" style="105" customWidth="1"/>
    <col min="14317" max="14548" width="10.88671875" style="105"/>
    <col min="14549" max="14549" width="3.5546875" style="105" customWidth="1"/>
    <col min="14550" max="14551" width="9" style="105" customWidth="1"/>
    <col min="14552" max="14552" width="7" style="105" customWidth="1"/>
    <col min="14553" max="14553" width="13.33203125" style="105" customWidth="1"/>
    <col min="14554" max="14554" width="10" style="105" customWidth="1"/>
    <col min="14555" max="14555" width="11.44140625" style="105" customWidth="1"/>
    <col min="14556" max="14556" width="11.5546875" style="105" customWidth="1"/>
    <col min="14557" max="14557" width="9.109375" style="105" customWidth="1"/>
    <col min="14558" max="14559" width="9.44140625" style="105" customWidth="1"/>
    <col min="14560" max="14560" width="10.88671875" style="105" customWidth="1"/>
    <col min="14561" max="14562" width="9.5546875" style="105" customWidth="1"/>
    <col min="14563" max="14563" width="10.33203125" style="105" customWidth="1"/>
    <col min="14564" max="14564" width="3.109375" style="105" customWidth="1"/>
    <col min="14565" max="14569" width="10.88671875" style="105" customWidth="1"/>
    <col min="14570" max="14570" width="10.88671875" style="105"/>
    <col min="14571" max="14572" width="7.109375" style="105" customWidth="1"/>
    <col min="14573" max="14804" width="10.88671875" style="105"/>
    <col min="14805" max="14805" width="3.5546875" style="105" customWidth="1"/>
    <col min="14806" max="14807" width="9" style="105" customWidth="1"/>
    <col min="14808" max="14808" width="7" style="105" customWidth="1"/>
    <col min="14809" max="14809" width="13.33203125" style="105" customWidth="1"/>
    <col min="14810" max="14810" width="10" style="105" customWidth="1"/>
    <col min="14811" max="14811" width="11.44140625" style="105" customWidth="1"/>
    <col min="14812" max="14812" width="11.5546875" style="105" customWidth="1"/>
    <col min="14813" max="14813" width="9.109375" style="105" customWidth="1"/>
    <col min="14814" max="14815" width="9.44140625" style="105" customWidth="1"/>
    <col min="14816" max="14816" width="10.88671875" style="105" customWidth="1"/>
    <col min="14817" max="14818" width="9.5546875" style="105" customWidth="1"/>
    <col min="14819" max="14819" width="10.33203125" style="105" customWidth="1"/>
    <col min="14820" max="14820" width="3.109375" style="105" customWidth="1"/>
    <col min="14821" max="14825" width="10.88671875" style="105" customWidth="1"/>
    <col min="14826" max="14826" width="10.88671875" style="105"/>
    <col min="14827" max="14828" width="7.109375" style="105" customWidth="1"/>
    <col min="14829" max="15060" width="10.88671875" style="105"/>
    <col min="15061" max="15061" width="3.5546875" style="105" customWidth="1"/>
    <col min="15062" max="15063" width="9" style="105" customWidth="1"/>
    <col min="15064" max="15064" width="7" style="105" customWidth="1"/>
    <col min="15065" max="15065" width="13.33203125" style="105" customWidth="1"/>
    <col min="15066" max="15066" width="10" style="105" customWidth="1"/>
    <col min="15067" max="15067" width="11.44140625" style="105" customWidth="1"/>
    <col min="15068" max="15068" width="11.5546875" style="105" customWidth="1"/>
    <col min="15069" max="15069" width="9.109375" style="105" customWidth="1"/>
    <col min="15070" max="15071" width="9.44140625" style="105" customWidth="1"/>
    <col min="15072" max="15072" width="10.88671875" style="105" customWidth="1"/>
    <col min="15073" max="15074" width="9.5546875" style="105" customWidth="1"/>
    <col min="15075" max="15075" width="10.33203125" style="105" customWidth="1"/>
    <col min="15076" max="15076" width="3.109375" style="105" customWidth="1"/>
    <col min="15077" max="15081" width="10.88671875" style="105" customWidth="1"/>
    <col min="15082" max="15082" width="10.88671875" style="105"/>
    <col min="15083" max="15084" width="7.109375" style="105" customWidth="1"/>
    <col min="15085" max="15316" width="10.88671875" style="105"/>
    <col min="15317" max="15317" width="3.5546875" style="105" customWidth="1"/>
    <col min="15318" max="15319" width="9" style="105" customWidth="1"/>
    <col min="15320" max="15320" width="7" style="105" customWidth="1"/>
    <col min="15321" max="15321" width="13.33203125" style="105" customWidth="1"/>
    <col min="15322" max="15322" width="10" style="105" customWidth="1"/>
    <col min="15323" max="15323" width="11.44140625" style="105" customWidth="1"/>
    <col min="15324" max="15324" width="11.5546875" style="105" customWidth="1"/>
    <col min="15325" max="15325" width="9.109375" style="105" customWidth="1"/>
    <col min="15326" max="15327" width="9.44140625" style="105" customWidth="1"/>
    <col min="15328" max="15328" width="10.88671875" style="105" customWidth="1"/>
    <col min="15329" max="15330" width="9.5546875" style="105" customWidth="1"/>
    <col min="15331" max="15331" width="10.33203125" style="105" customWidth="1"/>
    <col min="15332" max="15332" width="3.109375" style="105" customWidth="1"/>
    <col min="15333" max="15337" width="10.88671875" style="105" customWidth="1"/>
    <col min="15338" max="15338" width="10.88671875" style="105"/>
    <col min="15339" max="15340" width="7.109375" style="105" customWidth="1"/>
    <col min="15341" max="15572" width="10.88671875" style="105"/>
    <col min="15573" max="15573" width="3.5546875" style="105" customWidth="1"/>
    <col min="15574" max="15575" width="9" style="105" customWidth="1"/>
    <col min="15576" max="15576" width="7" style="105" customWidth="1"/>
    <col min="15577" max="15577" width="13.33203125" style="105" customWidth="1"/>
    <col min="15578" max="15578" width="10" style="105" customWidth="1"/>
    <col min="15579" max="15579" width="11.44140625" style="105" customWidth="1"/>
    <col min="15580" max="15580" width="11.5546875" style="105" customWidth="1"/>
    <col min="15581" max="15581" width="9.109375" style="105" customWidth="1"/>
    <col min="15582" max="15583" width="9.44140625" style="105" customWidth="1"/>
    <col min="15584" max="15584" width="10.88671875" style="105" customWidth="1"/>
    <col min="15585" max="15586" width="9.5546875" style="105" customWidth="1"/>
    <col min="15587" max="15587" width="10.33203125" style="105" customWidth="1"/>
    <col min="15588" max="15588" width="3.109375" style="105" customWidth="1"/>
    <col min="15589" max="15593" width="10.88671875" style="105" customWidth="1"/>
    <col min="15594" max="15594" width="10.88671875" style="105"/>
    <col min="15595" max="15596" width="7.109375" style="105" customWidth="1"/>
    <col min="15597" max="15828" width="10.88671875" style="105"/>
    <col min="15829" max="15829" width="3.5546875" style="105" customWidth="1"/>
    <col min="15830" max="15831" width="9" style="105" customWidth="1"/>
    <col min="15832" max="15832" width="7" style="105" customWidth="1"/>
    <col min="15833" max="15833" width="13.33203125" style="105" customWidth="1"/>
    <col min="15834" max="15834" width="10" style="105" customWidth="1"/>
    <col min="15835" max="15835" width="11.44140625" style="105" customWidth="1"/>
    <col min="15836" max="15836" width="11.5546875" style="105" customWidth="1"/>
    <col min="15837" max="15837" width="9.109375" style="105" customWidth="1"/>
    <col min="15838" max="15839" width="9.44140625" style="105" customWidth="1"/>
    <col min="15840" max="15840" width="10.88671875" style="105" customWidth="1"/>
    <col min="15841" max="15842" width="9.5546875" style="105" customWidth="1"/>
    <col min="15843" max="15843" width="10.33203125" style="105" customWidth="1"/>
    <col min="15844" max="15844" width="3.109375" style="105" customWidth="1"/>
    <col min="15845" max="15849" width="10.88671875" style="105" customWidth="1"/>
    <col min="15850" max="15850" width="10.88671875" style="105"/>
    <col min="15851" max="15852" width="7.109375" style="105" customWidth="1"/>
    <col min="15853" max="16084" width="10.88671875" style="105"/>
    <col min="16085" max="16085" width="3.5546875" style="105" customWidth="1"/>
    <col min="16086" max="16087" width="9" style="105" customWidth="1"/>
    <col min="16088" max="16088" width="7" style="105" customWidth="1"/>
    <col min="16089" max="16089" width="13.33203125" style="105" customWidth="1"/>
    <col min="16090" max="16090" width="10" style="105" customWidth="1"/>
    <col min="16091" max="16091" width="11.44140625" style="105" customWidth="1"/>
    <col min="16092" max="16092" width="11.5546875" style="105" customWidth="1"/>
    <col min="16093" max="16093" width="9.109375" style="105" customWidth="1"/>
    <col min="16094" max="16095" width="9.44140625" style="105" customWidth="1"/>
    <col min="16096" max="16096" width="10.88671875" style="105" customWidth="1"/>
    <col min="16097" max="16098" width="9.5546875" style="105" customWidth="1"/>
    <col min="16099" max="16099" width="10.33203125" style="105" customWidth="1"/>
    <col min="16100" max="16100" width="3.109375" style="105" customWidth="1"/>
    <col min="16101" max="16105" width="10.88671875" style="105" customWidth="1"/>
    <col min="16106" max="16106" width="10.88671875" style="105"/>
    <col min="16107" max="16108" width="7.109375" style="105" customWidth="1"/>
    <col min="16109" max="16369" width="10.88671875" style="105"/>
    <col min="16370" max="16384" width="11.44140625" style="105" customWidth="1"/>
  </cols>
  <sheetData>
    <row r="1" spans="2:36" hidden="1"/>
    <row r="2" spans="2:36" s="134" customFormat="1" ht="15">
      <c r="B2" s="392" t="s">
        <v>0</v>
      </c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  <c r="W2" s="392"/>
      <c r="X2" s="392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</row>
    <row r="3" spans="2:36" s="134" customFormat="1" ht="13.2" hidden="1"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85"/>
      <c r="Q3" s="185"/>
      <c r="R3" s="185"/>
      <c r="S3" s="185"/>
      <c r="T3" s="18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</row>
    <row r="4" spans="2:36" s="134" customFormat="1" ht="13.2" hidden="1">
      <c r="B4" s="393" t="s">
        <v>1</v>
      </c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185"/>
      <c r="Q4" s="185"/>
      <c r="R4" s="185"/>
      <c r="S4" s="185"/>
      <c r="T4" s="18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</row>
    <row r="5" spans="2:36" s="134" customFormat="1" ht="13.2" hidden="1">
      <c r="B5" s="393" t="s">
        <v>2</v>
      </c>
      <c r="C5" s="393"/>
      <c r="D5" s="393"/>
      <c r="E5" s="393"/>
      <c r="F5" s="393"/>
      <c r="G5" s="393"/>
      <c r="H5" s="393"/>
      <c r="I5" s="393"/>
      <c r="J5" s="393"/>
      <c r="K5" s="393"/>
      <c r="L5" s="393"/>
      <c r="M5" s="393"/>
      <c r="N5" s="393"/>
      <c r="O5" s="393"/>
      <c r="P5" s="185"/>
      <c r="Q5" s="185"/>
      <c r="R5" s="185"/>
      <c r="S5" s="185"/>
      <c r="T5" s="18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</row>
    <row r="6" spans="2:36" s="134" customFormat="1" ht="13.2" hidden="1">
      <c r="B6" s="211" t="s">
        <v>3</v>
      </c>
      <c r="C6" s="137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185"/>
      <c r="Q6" s="185"/>
      <c r="R6" s="185"/>
      <c r="S6" s="185"/>
      <c r="T6" s="18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</row>
    <row r="7" spans="2:36" s="134" customFormat="1" ht="13.2" hidden="1">
      <c r="B7" s="138" t="s">
        <v>4</v>
      </c>
      <c r="C7" s="139"/>
      <c r="D7" s="139"/>
      <c r="E7" s="139"/>
      <c r="F7" s="139"/>
      <c r="G7" s="139"/>
      <c r="H7" s="139"/>
      <c r="I7" s="139"/>
      <c r="J7" s="139"/>
      <c r="K7" s="140"/>
      <c r="L7" s="139"/>
      <c r="M7" s="141"/>
      <c r="N7" s="141"/>
      <c r="O7" s="141"/>
      <c r="P7" s="185"/>
      <c r="Q7" s="185"/>
      <c r="R7" s="185"/>
      <c r="S7" s="185"/>
      <c r="T7" s="18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</row>
    <row r="8" spans="2:36" s="134" customFormat="1" ht="6" customHeight="1">
      <c r="B8" s="394"/>
      <c r="C8" s="394"/>
      <c r="D8" s="394"/>
      <c r="E8" s="394"/>
      <c r="F8" s="394"/>
      <c r="G8" s="394"/>
      <c r="H8" s="394"/>
      <c r="I8" s="394"/>
      <c r="J8" s="394"/>
      <c r="K8" s="394"/>
      <c r="L8" s="394"/>
      <c r="M8" s="212"/>
      <c r="N8" s="212"/>
      <c r="O8" s="142">
        <v>14</v>
      </c>
      <c r="P8" s="186"/>
      <c r="Q8" s="186"/>
      <c r="R8" s="185"/>
      <c r="S8" s="185"/>
      <c r="T8" s="18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</row>
    <row r="9" spans="2:36" s="134" customFormat="1" ht="15" customHeight="1">
      <c r="B9" s="395"/>
      <c r="C9" s="396"/>
      <c r="D9" s="396"/>
      <c r="E9" s="396"/>
      <c r="F9" s="396"/>
      <c r="G9" s="396"/>
      <c r="H9" s="396"/>
      <c r="I9" s="396"/>
      <c r="J9" s="396"/>
      <c r="K9" s="396"/>
      <c r="L9" s="396"/>
      <c r="M9" s="396"/>
      <c r="N9" s="396"/>
      <c r="O9" s="396"/>
      <c r="P9" s="397"/>
      <c r="Q9" s="186"/>
      <c r="R9" s="185"/>
      <c r="S9" s="185"/>
      <c r="T9" s="185"/>
      <c r="U9" s="135"/>
      <c r="V9" s="135"/>
      <c r="W9" s="135" t="s">
        <v>930</v>
      </c>
      <c r="X9" s="135" t="str">
        <f>+C19</f>
        <v>Desgrav. saldo</v>
      </c>
      <c r="Y9" s="135"/>
      <c r="Z9" s="221" t="s">
        <v>931</v>
      </c>
      <c r="AA9" s="135"/>
      <c r="AB9" s="135"/>
      <c r="AC9" s="135"/>
      <c r="AD9" s="135"/>
      <c r="AE9" s="135"/>
      <c r="AF9" s="135"/>
      <c r="AG9" s="135"/>
      <c r="AH9" s="135"/>
      <c r="AI9" s="135"/>
      <c r="AJ9" s="135"/>
    </row>
    <row r="10" spans="2:36" s="134" customFormat="1" ht="2.4" customHeight="1">
      <c r="B10" s="143"/>
      <c r="N10" s="144"/>
      <c r="O10" s="145"/>
      <c r="P10" s="146"/>
      <c r="Q10" s="185"/>
      <c r="R10" s="185"/>
      <c r="S10" s="185"/>
      <c r="T10" s="185"/>
      <c r="U10" s="135"/>
      <c r="V10" s="135"/>
      <c r="W10" s="135"/>
      <c r="X10" s="135"/>
      <c r="Y10" s="135"/>
      <c r="Z10" s="221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</row>
    <row r="11" spans="2:36" s="134" customFormat="1" ht="13.2">
      <c r="B11" s="143"/>
      <c r="N11" s="144" t="s">
        <v>6</v>
      </c>
      <c r="O11" s="168">
        <f ca="1">+'Simulador CUOTA'!C11</f>
        <v>46234</v>
      </c>
      <c r="P11" s="196" t="s">
        <v>7</v>
      </c>
      <c r="Q11" s="185"/>
      <c r="R11" s="185"/>
      <c r="S11" s="185"/>
      <c r="T11" s="185"/>
      <c r="U11" s="135"/>
      <c r="V11" s="135"/>
      <c r="W11" s="135" t="s">
        <v>932</v>
      </c>
      <c r="X11" s="219">
        <f>+VLOOKUP(X9,Hoja1!$L$10:$M$14,2,0)</f>
        <v>6.8999999999999999E-3</v>
      </c>
      <c r="Y11" s="135"/>
      <c r="Z11" s="225">
        <v>2.5000000000000001E-2</v>
      </c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</row>
    <row r="12" spans="2:36" s="134" customFormat="1" ht="13.2">
      <c r="B12" s="147" t="s">
        <v>9</v>
      </c>
      <c r="C12" s="167">
        <f>+'Simulador CUOTA'!C12</f>
        <v>0.22</v>
      </c>
      <c r="E12" s="148" t="s">
        <v>933</v>
      </c>
      <c r="F12" s="169">
        <f>+'Simulador CUOTA'!F12</f>
        <v>10000</v>
      </c>
      <c r="H12" s="149" t="s">
        <v>934</v>
      </c>
      <c r="N12" s="144" t="s">
        <v>11</v>
      </c>
      <c r="O12" s="169">
        <f>+'Simulador CUOTA'!O12</f>
        <v>9</v>
      </c>
      <c r="P12" s="197">
        <f>VLOOKUP(O12,Tabla2[],2,FALSE)</f>
        <v>7</v>
      </c>
      <c r="Q12" s="185"/>
      <c r="R12" s="185"/>
      <c r="S12" s="185"/>
      <c r="T12" s="185"/>
      <c r="U12" s="135"/>
      <c r="V12" s="135"/>
      <c r="W12" s="135"/>
      <c r="X12" s="135"/>
      <c r="Y12" s="135"/>
      <c r="Z12" s="224">
        <f>+(1+Z11)^(30/360)-1</f>
        <v>2.0598362698427408E-3</v>
      </c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</row>
    <row r="13" spans="2:36" s="134" customFormat="1" ht="13.2">
      <c r="B13" s="147" t="s">
        <v>12</v>
      </c>
      <c r="C13" s="150">
        <f>+'Simulador CUOTA'!C13</f>
        <v>1.67E-2</v>
      </c>
      <c r="E13" s="151" t="s">
        <v>935</v>
      </c>
      <c r="F13" s="150"/>
      <c r="G13" s="152">
        <f>+F13*F12</f>
        <v>0</v>
      </c>
      <c r="H13" s="202"/>
      <c r="N13" s="144" t="s">
        <v>13</v>
      </c>
      <c r="O13" s="168">
        <f ca="1">+'Simulador CUOTA'!O13</f>
        <v>46210</v>
      </c>
      <c r="P13" s="210">
        <f ca="1">VLOOKUP($P$12,Tabla2[[#All],[PPD]:[Columna4]],6,FALSE)</f>
        <v>46241</v>
      </c>
      <c r="Q13" s="185"/>
      <c r="R13" s="185"/>
      <c r="S13" s="185"/>
      <c r="T13" s="18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</row>
    <row r="14" spans="2:36" s="134" customFormat="1" ht="13.2">
      <c r="B14" s="147" t="s">
        <v>14</v>
      </c>
      <c r="C14" s="150">
        <f ca="1">ROUNDDOWN((1+C15)^12-1,4)</f>
        <v>0.22189999999999999</v>
      </c>
      <c r="E14" s="151" t="s">
        <v>15</v>
      </c>
      <c r="F14" s="153"/>
      <c r="H14" s="202"/>
      <c r="N14" s="154" t="s">
        <v>16</v>
      </c>
      <c r="O14" s="198">
        <v>20</v>
      </c>
      <c r="P14" s="196"/>
      <c r="Q14" s="185"/>
      <c r="R14" s="185"/>
      <c r="S14" s="185"/>
      <c r="T14" s="18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</row>
    <row r="15" spans="2:36" s="134" customFormat="1" ht="13.2">
      <c r="B15" s="155" t="s">
        <v>17</v>
      </c>
      <c r="C15" s="156">
        <f ca="1">IRR(K23:K83)</f>
        <v>1.6842603543920198E-2</v>
      </c>
      <c r="E15" s="157" t="s">
        <v>18</v>
      </c>
      <c r="F15" s="158">
        <f>ROUNDUP(G13+F12,0)</f>
        <v>10000</v>
      </c>
      <c r="O15" s="159"/>
      <c r="P15" s="209"/>
      <c r="Q15" s="185"/>
      <c r="R15" s="185"/>
      <c r="S15" s="185"/>
      <c r="T15" s="18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</row>
    <row r="16" spans="2:36" s="134" customFormat="1" ht="13.2">
      <c r="B16" s="160" t="s">
        <v>21</v>
      </c>
      <c r="C16" s="199">
        <f>IF('Simulador CUOTA'!C16&lt;=24,'Simulador CUOTA'!C16,24)</f>
        <v>24</v>
      </c>
      <c r="E16" s="161" t="s">
        <v>20</v>
      </c>
      <c r="F16" s="162">
        <v>0</v>
      </c>
      <c r="N16" s="213"/>
      <c r="O16" s="214"/>
      <c r="P16" s="146"/>
      <c r="Q16" s="185"/>
      <c r="R16" s="185"/>
      <c r="S16" s="185"/>
      <c r="T16" s="18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</row>
    <row r="17" spans="2:36" s="134" customFormat="1" ht="14.1" customHeight="1">
      <c r="B17" s="204" t="s">
        <v>936</v>
      </c>
      <c r="C17" s="203" t="str">
        <f>+'Simulador CUOTA'!C17</f>
        <v>0 ciclos</v>
      </c>
      <c r="D17" s="388"/>
      <c r="E17" s="161" t="s">
        <v>26</v>
      </c>
      <c r="F17" s="162">
        <f>+F12-F16</f>
        <v>10000</v>
      </c>
      <c r="H17" s="163" t="s">
        <v>937</v>
      </c>
      <c r="N17" s="213"/>
      <c r="O17" s="214"/>
      <c r="P17" s="146"/>
      <c r="Q17" s="185"/>
      <c r="R17" s="185"/>
      <c r="S17" s="185"/>
      <c r="T17" s="18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</row>
    <row r="18" spans="2:36" s="134" customFormat="1" ht="13.2">
      <c r="B18" s="201"/>
      <c r="C18" s="202">
        <f>+VLOOKUP($C$17,Hoja1!F14:G38,2,0)</f>
        <v>0</v>
      </c>
      <c r="D18" s="388"/>
      <c r="N18" s="215"/>
      <c r="O18" s="216"/>
      <c r="P18" s="146"/>
      <c r="Q18" s="185"/>
      <c r="R18" s="185"/>
      <c r="S18" s="185"/>
      <c r="T18" s="18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</row>
    <row r="19" spans="2:36" s="134" customFormat="1" ht="13.2">
      <c r="B19" s="204" t="s">
        <v>938</v>
      </c>
      <c r="C19" s="217" t="str">
        <f>+'Simulador CUOTA'!C19</f>
        <v>Desgrav. saldo</v>
      </c>
      <c r="D19" s="185"/>
      <c r="P19" s="146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</row>
    <row r="20" spans="2:36" s="164" customFormat="1" ht="3" customHeight="1">
      <c r="B20" s="194"/>
      <c r="C20" s="188"/>
      <c r="D20" s="188"/>
      <c r="J20" s="134"/>
      <c r="K20" s="134"/>
      <c r="L20" s="134"/>
      <c r="P20" s="187"/>
      <c r="Q20" s="188"/>
      <c r="R20" s="188"/>
      <c r="S20" s="188"/>
      <c r="T20" s="188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</row>
    <row r="21" spans="2:36" s="134" customFormat="1" ht="14.25" customHeight="1">
      <c r="B21" s="389" t="s">
        <v>31</v>
      </c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  <c r="O21" s="390"/>
      <c r="P21" s="391"/>
      <c r="Q21" s="186"/>
      <c r="R21" s="185"/>
      <c r="S21" s="185"/>
      <c r="T21" s="185"/>
      <c r="U21" s="135"/>
      <c r="V21" s="135"/>
      <c r="W21" s="166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</row>
    <row r="22" spans="2:36" s="134" customFormat="1" ht="13.2">
      <c r="B22" s="170" t="s">
        <v>32</v>
      </c>
      <c r="C22" s="171" t="s">
        <v>33</v>
      </c>
      <c r="D22" s="171" t="s">
        <v>34</v>
      </c>
      <c r="E22" s="171" t="s">
        <v>939</v>
      </c>
      <c r="F22" s="171" t="s">
        <v>36</v>
      </c>
      <c r="G22" s="171" t="s">
        <v>37</v>
      </c>
      <c r="H22" s="171" t="s">
        <v>38</v>
      </c>
      <c r="I22" s="171" t="s">
        <v>39</v>
      </c>
      <c r="J22" s="171" t="s">
        <v>40</v>
      </c>
      <c r="K22" s="171" t="s">
        <v>41</v>
      </c>
      <c r="L22" s="172" t="s">
        <v>42</v>
      </c>
      <c r="M22" s="173"/>
      <c r="N22" s="171" t="s">
        <v>39</v>
      </c>
      <c r="O22" s="171" t="s">
        <v>40</v>
      </c>
      <c r="P22" s="172" t="s">
        <v>41</v>
      </c>
      <c r="Q22" s="186"/>
      <c r="R22" s="185"/>
      <c r="S22" s="185"/>
      <c r="T22" s="185"/>
      <c r="U22" s="135"/>
      <c r="V22" s="135"/>
      <c r="W22" s="135" t="s">
        <v>940</v>
      </c>
      <c r="X22" s="221" t="s">
        <v>941</v>
      </c>
      <c r="Y22" s="221"/>
      <c r="Z22" s="135" t="s">
        <v>942</v>
      </c>
      <c r="AA22" s="221" t="s">
        <v>941</v>
      </c>
      <c r="AB22" s="135"/>
      <c r="AC22" s="135"/>
      <c r="AD22" s="135"/>
      <c r="AE22" s="135"/>
      <c r="AF22" s="135"/>
      <c r="AG22" s="135"/>
      <c r="AH22" s="135"/>
      <c r="AI22" s="135"/>
      <c r="AJ22" s="135"/>
    </row>
    <row r="23" spans="2:36" hidden="1">
      <c r="B23" s="107">
        <v>0</v>
      </c>
      <c r="C23" s="108"/>
      <c r="D23" s="109"/>
      <c r="E23" s="109"/>
      <c r="F23" s="109"/>
      <c r="G23" s="109"/>
      <c r="H23" s="110"/>
      <c r="I23" s="109"/>
      <c r="J23" s="109"/>
      <c r="K23" s="111">
        <f>-F17</f>
        <v>-10000</v>
      </c>
      <c r="L23" s="112"/>
      <c r="M23" s="113"/>
      <c r="N23" s="107"/>
      <c r="O23" s="109"/>
      <c r="P23" s="112"/>
      <c r="Q23" s="189"/>
      <c r="X23" s="222"/>
      <c r="Y23" s="222"/>
    </row>
    <row r="24" spans="2:36">
      <c r="B24" s="114">
        <v>1</v>
      </c>
      <c r="C24" s="115">
        <f ca="1">IF(C16&gt;=B24,P13,"-")</f>
        <v>46241</v>
      </c>
      <c r="D24" s="115">
        <f ca="1">IF(C16&gt;=B24,C24+$O$14,"-")</f>
        <v>46261</v>
      </c>
      <c r="E24" s="116">
        <f ca="1">IF($C$16&gt;=B24,D24-O11+1,"-")</f>
        <v>28</v>
      </c>
      <c r="F24" s="116">
        <f ca="1">IF($C$16&gt;=B24,E24,"-")</f>
        <v>28</v>
      </c>
      <c r="G24" s="117">
        <f ca="1">IF($C$16&gt;=B24,ROUND(1/((1+$C$12)^(F24/360)),9),"-")</f>
        <v>0.98465280899999996</v>
      </c>
      <c r="H24" s="118">
        <f>IF($C$16&gt;=B24,F15,"-")</f>
        <v>10000</v>
      </c>
      <c r="I24" s="118">
        <f t="shared" ref="I24:I85" ca="1" si="0">IF($C$16=B24,H24,IF($C$16&gt;=B24,K24-J24,"-"))</f>
        <v>354.13</v>
      </c>
      <c r="J24" s="118">
        <f ca="1">IF($C$16=B24,K24-I24,IF($C$16&gt;=B24,ROUND(H24*((1+$C$12)^(E24/360)-1),2),"-"))</f>
        <v>155.86000000000001</v>
      </c>
      <c r="K24" s="118">
        <f ca="1">IF(O19&gt;0,$O$19+IF($C$16&gt;=B24,ROUND($F$15/$G$87,2),"-"),IF($C$16&gt;=B24,ROUND($F$15/$G$87,2),"-"))</f>
        <v>509.99</v>
      </c>
      <c r="L24" s="119">
        <f ca="1">IF($C$16&gt;=B24,H24-I24,"-")</f>
        <v>9645.8700000000008</v>
      </c>
      <c r="M24" s="119">
        <f ca="1">I24</f>
        <v>354.13</v>
      </c>
      <c r="N24" s="121">
        <f ca="1">IF($C$16&gt;=B24,(IF((M24&lt;=0),1,((SUM($I$24:I24)-(SUM($N$23:N23)))))),"-")</f>
        <v>354.13</v>
      </c>
      <c r="O24" s="118">
        <f ca="1">IF($C$16&gt;=B24,(P24-N24),"-")</f>
        <v>155.86000000000001</v>
      </c>
      <c r="P24" s="119">
        <f ca="1">IF($C$16&gt;=B24,(VALUE(K24)),"-")</f>
        <v>509.99</v>
      </c>
      <c r="Q24" s="191">
        <f ca="1">P24</f>
        <v>509.99</v>
      </c>
      <c r="S24" s="192" t="str">
        <f ca="1">TEXT(C24,"yyyy/mm/dd")</f>
        <v>2026/08/07</v>
      </c>
      <c r="T24" s="190" t="str">
        <f ca="1">MID(S24,1,4)</f>
        <v>2026</v>
      </c>
      <c r="U24" s="106" t="str">
        <f ca="1">MID(S24,6,2)</f>
        <v>08</v>
      </c>
      <c r="V24" s="106" t="str">
        <f ca="1">MID(S24,9,2)</f>
        <v>07</v>
      </c>
      <c r="W24" s="220">
        <f>IF($C$16&gt;=B24,H24*$X$11,"")</f>
        <v>69</v>
      </c>
      <c r="X24" s="223">
        <f ca="1">+SUM(W24:W83)</f>
        <v>916.85116199999993</v>
      </c>
      <c r="Y24" s="223"/>
      <c r="Z24" s="106">
        <f>+IFERROR(W24/((1+$Z$12)^B24),"")</f>
        <v>68.858163457435609</v>
      </c>
      <c r="AA24" s="223">
        <f ca="1">+SUM(Z24:Z83)</f>
        <v>900.20975187679994</v>
      </c>
    </row>
    <row r="25" spans="2:36">
      <c r="B25" s="114">
        <v>2</v>
      </c>
      <c r="C25" s="115">
        <f t="shared" ref="C25:C85" ca="1" si="1">IF($C$16&gt;=B25,DATE(YEAR(C24),MONTH(C24)+1,DAY(C24)),"-")</f>
        <v>46272</v>
      </c>
      <c r="D25" s="115">
        <f t="shared" ref="D25:D85" ca="1" si="2">IF($C$16&gt;=B25,C25+$O$14,"-")</f>
        <v>46292</v>
      </c>
      <c r="E25" s="116">
        <f t="shared" ref="E25:E85" ca="1" si="3">IF($C$16&gt;=B25,D25-D24,"-")</f>
        <v>31</v>
      </c>
      <c r="F25" s="116">
        <f ca="1">IF($C$16&gt;=B25,E25+F24,"-")</f>
        <v>59</v>
      </c>
      <c r="G25" s="117">
        <f t="shared" ref="G25:G85" ca="1" si="4">IF($C$16&gt;=B25,ROUND(1/((1+$C$12)^(F25/360)),9),"-")</f>
        <v>0.96793586799999998</v>
      </c>
      <c r="H25" s="118">
        <f t="shared" ref="H25:H85" ca="1" si="5">IF($C$16&gt;=B25,L24,"-")</f>
        <v>9645.8700000000008</v>
      </c>
      <c r="I25" s="118">
        <f t="shared" ca="1" si="0"/>
        <v>343.4</v>
      </c>
      <c r="J25" s="118">
        <f t="shared" ref="J25:J85" ca="1" si="6">IF($C$16=B25,K25-I25,IF($C$16&gt;=B25,ROUND(H25*((1+$C$12)^(E25/360)-1),2),"-"))</f>
        <v>166.59</v>
      </c>
      <c r="K25" s="118">
        <f t="shared" ref="K25:K85" ca="1" si="7">IF($C$16&gt;=B25,ROUND($F$15/$G$87,2),"-")</f>
        <v>509.99</v>
      </c>
      <c r="L25" s="119">
        <f ca="1">IF($C$16&gt;=B25,H25-I25,"-")</f>
        <v>9302.4700000000012</v>
      </c>
      <c r="M25" s="119">
        <f ca="1">P25-(J25+(I24*-1)+1)</f>
        <v>696.53</v>
      </c>
      <c r="N25" s="121">
        <f ca="1">IF($C$16&gt;=B25,(IF((M25&lt;=0),1,((SUM($I$24:I25)-(SUM($N$23:N24)))))),"-")</f>
        <v>343.4</v>
      </c>
      <c r="O25" s="118">
        <f t="shared" ref="O25:O85" ca="1" si="8">IF($C$16&gt;=B25,(P25-N25),"-")</f>
        <v>166.59000000000003</v>
      </c>
      <c r="P25" s="119">
        <f t="shared" ref="P25:P85" ca="1" si="9">IF($C$16&gt;=B25,(VALUE(K25)),"-")</f>
        <v>509.99</v>
      </c>
      <c r="Q25" s="191">
        <f t="shared" ref="Q25:Q85" ca="1" si="10">P25</f>
        <v>509.99</v>
      </c>
      <c r="S25" s="192" t="str">
        <f t="shared" ref="S25:S85" ca="1" si="11">TEXT(C25,"yyyy/mm/dd")</f>
        <v>2026/09/07</v>
      </c>
      <c r="T25" s="190" t="str">
        <f t="shared" ref="T25:T85" ca="1" si="12">IF(VALUE(U24)=12,TEXT(VALUE(T24)+1,"0000"),T24)</f>
        <v>2026</v>
      </c>
      <c r="U25" s="106" t="str">
        <f t="shared" ref="U25:U85" ca="1" si="13">IF(VALUE(U24)=12,"01",TEXT(VALUE(U24)+1,"00"))</f>
        <v>09</v>
      </c>
      <c r="V25" s="106" t="str">
        <f t="shared" ref="V25:V85" ca="1" si="14">V24</f>
        <v>07</v>
      </c>
      <c r="W25" s="220">
        <f t="shared" ref="W25:W83" ca="1" si="15">IF($C$16&gt;=B25,H25*$X$11,"")</f>
        <v>66.556503000000006</v>
      </c>
      <c r="Y25" s="223"/>
      <c r="Z25" s="106">
        <f t="shared" ref="Z25:Z85" ca="1" si="16">+IFERROR(W25/((1+$Z$12)^B25),"")</f>
        <v>66.283156864328632</v>
      </c>
    </row>
    <row r="26" spans="2:36">
      <c r="B26" s="114">
        <v>3</v>
      </c>
      <c r="C26" s="115">
        <f t="shared" ca="1" si="1"/>
        <v>46302</v>
      </c>
      <c r="D26" s="115">
        <f t="shared" ca="1" si="2"/>
        <v>46322</v>
      </c>
      <c r="E26" s="116">
        <f t="shared" ca="1" si="3"/>
        <v>30</v>
      </c>
      <c r="F26" s="116">
        <f t="shared" ref="F26:F85" ca="1" si="17">IF($C$16&gt;=B26,E26+F25,"-")</f>
        <v>89</v>
      </c>
      <c r="G26" s="117">
        <f t="shared" ca="1" si="4"/>
        <v>0.95202845899999999</v>
      </c>
      <c r="H26" s="118">
        <f t="shared" ca="1" si="5"/>
        <v>9302.4700000000012</v>
      </c>
      <c r="I26" s="118">
        <f t="shared" ca="1" si="0"/>
        <v>354.56</v>
      </c>
      <c r="J26" s="118">
        <f t="shared" ca="1" si="6"/>
        <v>155.43</v>
      </c>
      <c r="K26" s="118">
        <f t="shared" ca="1" si="7"/>
        <v>509.99</v>
      </c>
      <c r="L26" s="119">
        <f t="shared" ref="L26:L85" ca="1" si="18">IF($C$16&gt;=B26,H26-I26,"-")</f>
        <v>8947.9100000000017</v>
      </c>
      <c r="M26" s="119">
        <f ca="1">IF($C$16&gt;=B26,(IF(((P26-(J26+(I25*-1)+1))&lt;=0),1,((SUM(I$24:$I26)-(SUM($N$23:$N$25)))))),"-")</f>
        <v>354.55999999999995</v>
      </c>
      <c r="N26" s="121">
        <f ca="1">IF($C$16&gt;=B26,(IF((M26&lt;=0),1,((SUM($I$24:I26)-(SUM($N$23:N25)))))),"-")</f>
        <v>354.55999999999995</v>
      </c>
      <c r="O26" s="118">
        <f t="shared" ca="1" si="8"/>
        <v>155.43000000000006</v>
      </c>
      <c r="P26" s="119">
        <f t="shared" ca="1" si="9"/>
        <v>509.99</v>
      </c>
      <c r="Q26" s="191">
        <f t="shared" ca="1" si="10"/>
        <v>509.99</v>
      </c>
      <c r="S26" s="192" t="str">
        <f t="shared" ca="1" si="11"/>
        <v>2026/10/07</v>
      </c>
      <c r="T26" s="190" t="str">
        <f t="shared" ca="1" si="12"/>
        <v>2026</v>
      </c>
      <c r="U26" s="106" t="str">
        <f t="shared" ca="1" si="13"/>
        <v>10</v>
      </c>
      <c r="V26" s="106" t="str">
        <f t="shared" ca="1" si="14"/>
        <v>07</v>
      </c>
      <c r="W26" s="220">
        <f t="shared" ca="1" si="15"/>
        <v>64.187043000000003</v>
      </c>
      <c r="Y26" s="223"/>
      <c r="Z26" s="106">
        <f t="shared" ca="1" si="16"/>
        <v>63.792027054864668</v>
      </c>
    </row>
    <row r="27" spans="2:36">
      <c r="B27" s="114">
        <v>4</v>
      </c>
      <c r="C27" s="115">
        <f t="shared" ca="1" si="1"/>
        <v>46333</v>
      </c>
      <c r="D27" s="115">
        <f t="shared" ca="1" si="2"/>
        <v>46353</v>
      </c>
      <c r="E27" s="116">
        <f t="shared" ca="1" si="3"/>
        <v>31</v>
      </c>
      <c r="F27" s="116">
        <f t="shared" ca="1" si="17"/>
        <v>120</v>
      </c>
      <c r="G27" s="117">
        <f t="shared" ca="1" si="4"/>
        <v>0.93586539700000004</v>
      </c>
      <c r="H27" s="118">
        <f t="shared" ca="1" si="5"/>
        <v>8947.9100000000017</v>
      </c>
      <c r="I27" s="118">
        <f t="shared" ca="1" si="0"/>
        <v>355.45000000000005</v>
      </c>
      <c r="J27" s="118">
        <f t="shared" ca="1" si="6"/>
        <v>154.54</v>
      </c>
      <c r="K27" s="118">
        <f t="shared" ca="1" si="7"/>
        <v>509.99</v>
      </c>
      <c r="L27" s="119">
        <f t="shared" ca="1" si="18"/>
        <v>8592.4600000000009</v>
      </c>
      <c r="M27" s="119">
        <f ca="1">IF($C$16&gt;=B27,(IF(((P27-(J27+(I26*-1)+1))&lt;=0),1,((SUM(I$24:$I27)-(SUM($N$23:$N$25)))))),"-")</f>
        <v>710.01</v>
      </c>
      <c r="N27" s="121">
        <f ca="1">IF($C$16&gt;=B27,(IF((M27&lt;=0),1,((SUM($I$24:I27)-(SUM($N$23:N26)))))),"-")</f>
        <v>355.45000000000005</v>
      </c>
      <c r="O27" s="118">
        <f t="shared" ca="1" si="8"/>
        <v>154.53999999999996</v>
      </c>
      <c r="P27" s="119">
        <f t="shared" ca="1" si="9"/>
        <v>509.99</v>
      </c>
      <c r="Q27" s="191">
        <f t="shared" ca="1" si="10"/>
        <v>509.99</v>
      </c>
      <c r="S27" s="192" t="str">
        <f t="shared" ca="1" si="11"/>
        <v>2026/11/07</v>
      </c>
      <c r="T27" s="190" t="str">
        <f t="shared" ca="1" si="12"/>
        <v>2026</v>
      </c>
      <c r="U27" s="106" t="str">
        <f t="shared" ca="1" si="13"/>
        <v>11</v>
      </c>
      <c r="V27" s="106" t="str">
        <f t="shared" ca="1" si="14"/>
        <v>07</v>
      </c>
      <c r="W27" s="220">
        <f t="shared" ca="1" si="15"/>
        <v>61.740579000000011</v>
      </c>
      <c r="Y27" s="223"/>
      <c r="Z27" s="106">
        <f t="shared" ca="1" si="16"/>
        <v>61.234485917815505</v>
      </c>
    </row>
    <row r="28" spans="2:36">
      <c r="B28" s="114">
        <v>5</v>
      </c>
      <c r="C28" s="115">
        <f t="shared" ca="1" si="1"/>
        <v>46363</v>
      </c>
      <c r="D28" s="115">
        <f t="shared" ca="1" si="2"/>
        <v>46383</v>
      </c>
      <c r="E28" s="116">
        <f t="shared" ca="1" si="3"/>
        <v>30</v>
      </c>
      <c r="F28" s="116">
        <f t="shared" ca="1" si="17"/>
        <v>150</v>
      </c>
      <c r="G28" s="117">
        <f t="shared" ca="1" si="4"/>
        <v>0.92048504600000003</v>
      </c>
      <c r="H28" s="118">
        <f t="shared" ca="1" si="5"/>
        <v>8592.4600000000009</v>
      </c>
      <c r="I28" s="118">
        <f t="shared" ca="1" si="0"/>
        <v>366.42</v>
      </c>
      <c r="J28" s="118">
        <f t="shared" ca="1" si="6"/>
        <v>143.57</v>
      </c>
      <c r="K28" s="118">
        <f t="shared" ca="1" si="7"/>
        <v>509.99</v>
      </c>
      <c r="L28" s="119">
        <f t="shared" ca="1" si="18"/>
        <v>8226.0400000000009</v>
      </c>
      <c r="M28" s="122">
        <f ca="1">IF($C$16&gt;=B28,(IF(((P28-(J28+(I27*-1)+1))&lt;=0),1,((SUM(I$24:$I28)-(SUM($N$23:$N$25)))))),"-")</f>
        <v>1076.43</v>
      </c>
      <c r="N28" s="121">
        <f ca="1">IF($C$16&gt;=B28,(IF((M28&lt;=0),1,((SUM($I$24:I28)-(SUM($N$23:N27)))))),"-")</f>
        <v>366.42000000000007</v>
      </c>
      <c r="O28" s="118">
        <f t="shared" ca="1" si="8"/>
        <v>143.56999999999994</v>
      </c>
      <c r="P28" s="119">
        <f t="shared" ca="1" si="9"/>
        <v>509.99</v>
      </c>
      <c r="Q28" s="191">
        <f t="shared" ca="1" si="10"/>
        <v>509.99</v>
      </c>
      <c r="S28" s="192" t="str">
        <f t="shared" ca="1" si="11"/>
        <v>2026/12/07</v>
      </c>
      <c r="T28" s="190" t="str">
        <f t="shared" ca="1" si="12"/>
        <v>2026</v>
      </c>
      <c r="U28" s="106" t="str">
        <f t="shared" ca="1" si="13"/>
        <v>12</v>
      </c>
      <c r="V28" s="106" t="str">
        <f t="shared" ca="1" si="14"/>
        <v>07</v>
      </c>
      <c r="W28" s="220">
        <f t="shared" ca="1" si="15"/>
        <v>59.287974000000006</v>
      </c>
      <c r="Y28" s="223"/>
      <c r="Z28" s="106">
        <f t="shared" ca="1" si="16"/>
        <v>58.681111659562809</v>
      </c>
    </row>
    <row r="29" spans="2:36" ht="11.25" customHeight="1">
      <c r="B29" s="114">
        <v>6</v>
      </c>
      <c r="C29" s="115">
        <f t="shared" ca="1" si="1"/>
        <v>46394</v>
      </c>
      <c r="D29" s="115">
        <f t="shared" ca="1" si="2"/>
        <v>46414</v>
      </c>
      <c r="E29" s="116">
        <f t="shared" ca="1" si="3"/>
        <v>31</v>
      </c>
      <c r="F29" s="116">
        <f t="shared" ca="1" si="17"/>
        <v>181</v>
      </c>
      <c r="G29" s="117">
        <f t="shared" ca="1" si="4"/>
        <v>0.90485751199999997</v>
      </c>
      <c r="H29" s="118">
        <f t="shared" ca="1" si="5"/>
        <v>8226.0400000000009</v>
      </c>
      <c r="I29" s="118">
        <f t="shared" ca="1" si="0"/>
        <v>367.92</v>
      </c>
      <c r="J29" s="118">
        <f t="shared" ca="1" si="6"/>
        <v>142.07</v>
      </c>
      <c r="K29" s="118">
        <f t="shared" ca="1" si="7"/>
        <v>509.99</v>
      </c>
      <c r="L29" s="119">
        <f t="shared" ca="1" si="18"/>
        <v>7858.1200000000008</v>
      </c>
      <c r="M29" s="122">
        <f ca="1">IF($C$16&gt;=B29,(IF(((P29-(J29+(I28*-1)+1))&lt;=0),1,((SUM(I$24:$I29)-(SUM($N$23:$N$25)))))),"-")</f>
        <v>1444.3500000000001</v>
      </c>
      <c r="N29" s="121">
        <f ca="1">IF($C$16&gt;=B29,(IF((M29&lt;=0),1,((SUM($I$24:I29)-(SUM($N$23:N28)))))),"-")</f>
        <v>367.92000000000007</v>
      </c>
      <c r="O29" s="118">
        <f t="shared" ca="1" si="8"/>
        <v>142.06999999999994</v>
      </c>
      <c r="P29" s="119">
        <f t="shared" ca="1" si="9"/>
        <v>509.99</v>
      </c>
      <c r="Q29" s="191">
        <f t="shared" ca="1" si="10"/>
        <v>509.99</v>
      </c>
      <c r="S29" s="192" t="str">
        <f t="shared" ca="1" si="11"/>
        <v>2027/01/07</v>
      </c>
      <c r="T29" s="190" t="str">
        <f t="shared" ca="1" si="12"/>
        <v>2027</v>
      </c>
      <c r="U29" s="106" t="str">
        <f t="shared" ca="1" si="13"/>
        <v>01</v>
      </c>
      <c r="V29" s="106" t="str">
        <f t="shared" ca="1" si="14"/>
        <v>07</v>
      </c>
      <c r="W29" s="220">
        <f t="shared" ca="1" si="15"/>
        <v>56.759676000000006</v>
      </c>
      <c r="Y29" s="223"/>
      <c r="Z29" s="106">
        <f t="shared" ca="1" si="16"/>
        <v>56.06321188144144</v>
      </c>
    </row>
    <row r="30" spans="2:36">
      <c r="B30" s="114">
        <v>7</v>
      </c>
      <c r="C30" s="115">
        <f t="shared" ca="1" si="1"/>
        <v>46425</v>
      </c>
      <c r="D30" s="115">
        <f t="shared" ca="1" si="2"/>
        <v>46445</v>
      </c>
      <c r="E30" s="116">
        <f t="shared" ca="1" si="3"/>
        <v>31</v>
      </c>
      <c r="F30" s="116">
        <f t="shared" ca="1" si="17"/>
        <v>212</v>
      </c>
      <c r="G30" s="117">
        <f t="shared" ca="1" si="4"/>
        <v>0.88949529500000002</v>
      </c>
      <c r="H30" s="118">
        <f t="shared" ca="1" si="5"/>
        <v>7858.1200000000008</v>
      </c>
      <c r="I30" s="118">
        <f t="shared" ca="1" si="0"/>
        <v>374.27</v>
      </c>
      <c r="J30" s="118">
        <f t="shared" ca="1" si="6"/>
        <v>135.72</v>
      </c>
      <c r="K30" s="118">
        <f t="shared" ca="1" si="7"/>
        <v>509.99</v>
      </c>
      <c r="L30" s="119">
        <f t="shared" ca="1" si="18"/>
        <v>7483.85</v>
      </c>
      <c r="M30" s="122">
        <f ca="1">IF($C$16&gt;=B30,(IF(((P30-(J30+(I29*-1)+1))&lt;=0),1,((SUM(I$24:$I30)-(SUM($N$23:$N$25)))))),"-")</f>
        <v>1818.6200000000001</v>
      </c>
      <c r="N30" s="121">
        <f ca="1">IF($C$16&gt;=B30,(IF((M30&lt;=0),1,((SUM($I$24:I30)-(SUM($N$23:N29)))))),"-")</f>
        <v>374.27</v>
      </c>
      <c r="O30" s="118">
        <f t="shared" ca="1" si="8"/>
        <v>135.72000000000003</v>
      </c>
      <c r="P30" s="119">
        <f t="shared" ca="1" si="9"/>
        <v>509.99</v>
      </c>
      <c r="Q30" s="191">
        <f t="shared" ca="1" si="10"/>
        <v>509.99</v>
      </c>
      <c r="S30" s="192" t="str">
        <f t="shared" ca="1" si="11"/>
        <v>2027/02/07</v>
      </c>
      <c r="T30" s="190" t="str">
        <f t="shared" ca="1" si="12"/>
        <v>2027</v>
      </c>
      <c r="U30" s="106" t="str">
        <f t="shared" ca="1" si="13"/>
        <v>02</v>
      </c>
      <c r="V30" s="106" t="str">
        <f t="shared" ca="1" si="14"/>
        <v>07</v>
      </c>
      <c r="W30" s="220">
        <f t="shared" ca="1" si="15"/>
        <v>54.221028000000004</v>
      </c>
      <c r="Y30" s="223"/>
      <c r="Z30" s="106">
        <f t="shared" ca="1" si="16"/>
        <v>53.445624879774371</v>
      </c>
    </row>
    <row r="31" spans="2:36">
      <c r="B31" s="114">
        <v>8</v>
      </c>
      <c r="C31" s="115">
        <f t="shared" ca="1" si="1"/>
        <v>46453</v>
      </c>
      <c r="D31" s="115">
        <f t="shared" ca="1" si="2"/>
        <v>46473</v>
      </c>
      <c r="E31" s="116">
        <f t="shared" ca="1" si="3"/>
        <v>28</v>
      </c>
      <c r="F31" s="116">
        <f t="shared" ca="1" si="17"/>
        <v>240</v>
      </c>
      <c r="G31" s="117">
        <f t="shared" ca="1" si="4"/>
        <v>0.87584404100000002</v>
      </c>
      <c r="H31" s="118">
        <f t="shared" ca="1" si="5"/>
        <v>7483.85</v>
      </c>
      <c r="I31" s="118">
        <f t="shared" ca="1" si="0"/>
        <v>393.34000000000003</v>
      </c>
      <c r="J31" s="118">
        <f t="shared" ca="1" si="6"/>
        <v>116.65</v>
      </c>
      <c r="K31" s="118">
        <f t="shared" ca="1" si="7"/>
        <v>509.99</v>
      </c>
      <c r="L31" s="119">
        <f t="shared" ca="1" si="18"/>
        <v>7090.51</v>
      </c>
      <c r="M31" s="122">
        <f ca="1">IF($C$16&gt;=B31,(IF(((P31-(J31+(I30*-1)+1))&lt;=0),1,((SUM(I$24:$I31)-(SUM($N$23:$N$25)))))),"-")</f>
        <v>2211.96</v>
      </c>
      <c r="N31" s="121">
        <f ca="1">IF($C$16&gt;=B31,(IF((M31&lt;=0),1,((SUM($I$24:I31)-(SUM($N$23:N30)))))),"-")</f>
        <v>393.34000000000015</v>
      </c>
      <c r="O31" s="118">
        <f t="shared" ca="1" si="8"/>
        <v>116.64999999999986</v>
      </c>
      <c r="P31" s="119">
        <f t="shared" ca="1" si="9"/>
        <v>509.99</v>
      </c>
      <c r="Q31" s="191">
        <f t="shared" ca="1" si="10"/>
        <v>509.99</v>
      </c>
      <c r="S31" s="192" t="str">
        <f t="shared" ca="1" si="11"/>
        <v>2027/03/07</v>
      </c>
      <c r="T31" s="190" t="str">
        <f t="shared" ca="1" si="12"/>
        <v>2027</v>
      </c>
      <c r="U31" s="106" t="str">
        <f t="shared" ca="1" si="13"/>
        <v>03</v>
      </c>
      <c r="V31" s="106" t="str">
        <f t="shared" ca="1" si="14"/>
        <v>07</v>
      </c>
      <c r="W31" s="220">
        <f t="shared" ca="1" si="15"/>
        <v>51.638565</v>
      </c>
      <c r="Z31" s="106">
        <f t="shared" ca="1" si="16"/>
        <v>50.7954627844776</v>
      </c>
    </row>
    <row r="32" spans="2:36">
      <c r="B32" s="114">
        <v>9</v>
      </c>
      <c r="C32" s="115">
        <f t="shared" ca="1" si="1"/>
        <v>46484</v>
      </c>
      <c r="D32" s="115">
        <f t="shared" ca="1" si="2"/>
        <v>46504</v>
      </c>
      <c r="E32" s="116">
        <f t="shared" ca="1" si="3"/>
        <v>31</v>
      </c>
      <c r="F32" s="116">
        <f t="shared" ca="1" si="17"/>
        <v>271</v>
      </c>
      <c r="G32" s="117">
        <f t="shared" ca="1" si="4"/>
        <v>0.86097440000000003</v>
      </c>
      <c r="H32" s="118">
        <f t="shared" ca="1" si="5"/>
        <v>7090.51</v>
      </c>
      <c r="I32" s="118">
        <f t="shared" ca="1" si="0"/>
        <v>387.53000000000003</v>
      </c>
      <c r="J32" s="118">
        <f t="shared" ca="1" si="6"/>
        <v>122.46</v>
      </c>
      <c r="K32" s="118">
        <f t="shared" ca="1" si="7"/>
        <v>509.99</v>
      </c>
      <c r="L32" s="119">
        <f t="shared" ca="1" si="18"/>
        <v>6702.9800000000005</v>
      </c>
      <c r="M32" s="122">
        <f ca="1">IF($C$16&gt;=B32,(IF(((P32-(J32+(I31*-1)+1))&lt;=0),1,((SUM(I$24:$I32)-(SUM($N$23:$N$25)))))),"-")</f>
        <v>2599.4900000000007</v>
      </c>
      <c r="N32" s="121">
        <f ca="1">IF($C$16&gt;=B32,(IF((M32&lt;=0),1,((SUM($I$24:I32)-(SUM($N$23:N31)))))),"-")</f>
        <v>387.5300000000002</v>
      </c>
      <c r="O32" s="118">
        <f t="shared" ca="1" si="8"/>
        <v>122.45999999999981</v>
      </c>
      <c r="P32" s="119">
        <f t="shared" ca="1" si="9"/>
        <v>509.99</v>
      </c>
      <c r="Q32" s="191">
        <f t="shared" ca="1" si="10"/>
        <v>509.99</v>
      </c>
      <c r="S32" s="192" t="str">
        <f t="shared" ca="1" si="11"/>
        <v>2027/04/07</v>
      </c>
      <c r="T32" s="190" t="str">
        <f t="shared" ca="1" si="12"/>
        <v>2027</v>
      </c>
      <c r="U32" s="106" t="str">
        <f t="shared" ca="1" si="13"/>
        <v>04</v>
      </c>
      <c r="V32" s="106" t="str">
        <f t="shared" ca="1" si="14"/>
        <v>07</v>
      </c>
      <c r="W32" s="220">
        <f t="shared" ca="1" si="15"/>
        <v>48.924519000000004</v>
      </c>
      <c r="Z32" s="106">
        <f t="shared" ca="1" si="16"/>
        <v>48.026801632206158</v>
      </c>
    </row>
    <row r="33" spans="2:26">
      <c r="B33" s="114">
        <v>10</v>
      </c>
      <c r="C33" s="115">
        <f t="shared" ca="1" si="1"/>
        <v>46514</v>
      </c>
      <c r="D33" s="115">
        <f t="shared" ca="1" si="2"/>
        <v>46534</v>
      </c>
      <c r="E33" s="116">
        <f t="shared" ca="1" si="3"/>
        <v>30</v>
      </c>
      <c r="F33" s="116">
        <f t="shared" ca="1" si="17"/>
        <v>301</v>
      </c>
      <c r="G33" s="117">
        <f t="shared" ca="1" si="4"/>
        <v>0.84682483500000005</v>
      </c>
      <c r="H33" s="118">
        <f t="shared" ca="1" si="5"/>
        <v>6702.9800000000005</v>
      </c>
      <c r="I33" s="118">
        <f t="shared" ca="1" si="0"/>
        <v>397.99</v>
      </c>
      <c r="J33" s="118">
        <f t="shared" ca="1" si="6"/>
        <v>112</v>
      </c>
      <c r="K33" s="118">
        <f t="shared" ca="1" si="7"/>
        <v>509.99</v>
      </c>
      <c r="L33" s="119">
        <f t="shared" ca="1" si="18"/>
        <v>6304.9900000000007</v>
      </c>
      <c r="M33" s="122">
        <f ca="1">IF($C$16&gt;=B33,(IF(((P33-(J33+(I32*-1)+1))&lt;=0),1,((SUM(I$24:$I33)-(SUM($N$23:$N$25)))))),"-")</f>
        <v>2997.4800000000005</v>
      </c>
      <c r="N33" s="121">
        <f ca="1">IF($C$16&gt;=B33,(IF((M33&lt;=0),1,((SUM($I$24:I33)-(SUM($N$23:N32)))))),"-")</f>
        <v>397.98999999999978</v>
      </c>
      <c r="O33" s="118">
        <f t="shared" ca="1" si="8"/>
        <v>112.00000000000023</v>
      </c>
      <c r="P33" s="119">
        <f t="shared" ca="1" si="9"/>
        <v>509.99</v>
      </c>
      <c r="Q33" s="191">
        <f t="shared" ca="1" si="10"/>
        <v>509.99</v>
      </c>
      <c r="S33" s="192" t="str">
        <f t="shared" ca="1" si="11"/>
        <v>2027/05/07</v>
      </c>
      <c r="T33" s="190" t="str">
        <f t="shared" ca="1" si="12"/>
        <v>2027</v>
      </c>
      <c r="U33" s="106" t="str">
        <f t="shared" ca="1" si="13"/>
        <v>05</v>
      </c>
      <c r="V33" s="106" t="str">
        <f t="shared" ca="1" si="14"/>
        <v>07</v>
      </c>
      <c r="W33" s="220">
        <f t="shared" ca="1" si="15"/>
        <v>46.250562000000002</v>
      </c>
      <c r="Z33" s="106">
        <f t="shared" ca="1" si="16"/>
        <v>45.308580885759483</v>
      </c>
    </row>
    <row r="34" spans="2:26">
      <c r="B34" s="114">
        <v>11</v>
      </c>
      <c r="C34" s="115">
        <f t="shared" ca="1" si="1"/>
        <v>46545</v>
      </c>
      <c r="D34" s="115">
        <f t="shared" ca="1" si="2"/>
        <v>46565</v>
      </c>
      <c r="E34" s="116">
        <f t="shared" ca="1" si="3"/>
        <v>31</v>
      </c>
      <c r="F34" s="116">
        <f t="shared" ca="1" si="17"/>
        <v>332</v>
      </c>
      <c r="G34" s="117">
        <f t="shared" ca="1" si="4"/>
        <v>0.83244786699999995</v>
      </c>
      <c r="H34" s="118">
        <f t="shared" ca="1" si="5"/>
        <v>6304.9900000000007</v>
      </c>
      <c r="I34" s="118">
        <f t="shared" ca="1" si="0"/>
        <v>401.1</v>
      </c>
      <c r="J34" s="118">
        <f t="shared" ca="1" si="6"/>
        <v>108.89</v>
      </c>
      <c r="K34" s="118">
        <f t="shared" ca="1" si="7"/>
        <v>509.99</v>
      </c>
      <c r="L34" s="119">
        <f t="shared" ca="1" si="18"/>
        <v>5903.89</v>
      </c>
      <c r="M34" s="122">
        <f ca="1">IF($C$16&gt;=B34,(IF(((P34-(J34+(I33*-1)+1))&lt;=0),1,((SUM(I$24:$I34)-(SUM($N$23:$N$25)))))),"-")</f>
        <v>3398.5800000000008</v>
      </c>
      <c r="N34" s="121">
        <f ca="1">IF($C$16&gt;=B34,(IF((M34&lt;=0),1,((SUM($I$24:I34)-(SUM($N$23:N33)))))),"-")</f>
        <v>401.10000000000036</v>
      </c>
      <c r="O34" s="118">
        <f t="shared" ca="1" si="8"/>
        <v>108.88999999999965</v>
      </c>
      <c r="P34" s="119">
        <f t="shared" ca="1" si="9"/>
        <v>509.99</v>
      </c>
      <c r="Q34" s="191">
        <f t="shared" ca="1" si="10"/>
        <v>509.99</v>
      </c>
      <c r="S34" s="192" t="str">
        <f t="shared" ca="1" si="11"/>
        <v>2027/06/07</v>
      </c>
      <c r="T34" s="190" t="str">
        <f t="shared" ca="1" si="12"/>
        <v>2027</v>
      </c>
      <c r="U34" s="106" t="str">
        <f t="shared" ca="1" si="13"/>
        <v>06</v>
      </c>
      <c r="V34" s="106" t="str">
        <f t="shared" ca="1" si="14"/>
        <v>07</v>
      </c>
      <c r="W34" s="220">
        <f t="shared" ca="1" si="15"/>
        <v>43.504431000000004</v>
      </c>
      <c r="Z34" s="106">
        <f t="shared" ca="1" si="16"/>
        <v>42.530773663290475</v>
      </c>
    </row>
    <row r="35" spans="2:26">
      <c r="B35" s="114">
        <v>12</v>
      </c>
      <c r="C35" s="115">
        <f t="shared" ca="1" si="1"/>
        <v>46575</v>
      </c>
      <c r="D35" s="115">
        <f t="shared" ca="1" si="2"/>
        <v>46595</v>
      </c>
      <c r="E35" s="116">
        <f t="shared" ca="1" si="3"/>
        <v>30</v>
      </c>
      <c r="F35" s="116">
        <f t="shared" ca="1" si="17"/>
        <v>362</v>
      </c>
      <c r="G35" s="117">
        <f t="shared" ca="1" si="4"/>
        <v>0.81876711700000004</v>
      </c>
      <c r="H35" s="118">
        <f t="shared" ca="1" si="5"/>
        <v>5903.89</v>
      </c>
      <c r="I35" s="118">
        <f t="shared" ca="1" si="0"/>
        <v>411.34000000000003</v>
      </c>
      <c r="J35" s="118">
        <f t="shared" ca="1" si="6"/>
        <v>98.65</v>
      </c>
      <c r="K35" s="118">
        <f t="shared" ca="1" si="7"/>
        <v>509.99</v>
      </c>
      <c r="L35" s="119">
        <f t="shared" ca="1" si="18"/>
        <v>5492.55</v>
      </c>
      <c r="M35" s="122">
        <f ca="1">IF($C$16&gt;=B35,(IF(((P35-(J35+(I34*-1)+1))&lt;=0),1,((SUM(I$24:$I35)-(SUM($N$23:$N$25)))))),"-")</f>
        <v>3809.920000000001</v>
      </c>
      <c r="N35" s="121">
        <f ca="1">IF($C$16&gt;=B35,(IF((M35&lt;=0),1,((SUM($I$24:I35)-(SUM($N$23:N34)))))),"-")</f>
        <v>411.34000000000015</v>
      </c>
      <c r="O35" s="118">
        <f t="shared" ca="1" si="8"/>
        <v>98.649999999999864</v>
      </c>
      <c r="P35" s="119">
        <f t="shared" ca="1" si="9"/>
        <v>509.99</v>
      </c>
      <c r="Q35" s="191">
        <f t="shared" ca="1" si="10"/>
        <v>509.99</v>
      </c>
      <c r="S35" s="192" t="str">
        <f t="shared" ca="1" si="11"/>
        <v>2027/07/07</v>
      </c>
      <c r="T35" s="190" t="str">
        <f t="shared" ca="1" si="12"/>
        <v>2027</v>
      </c>
      <c r="U35" s="106" t="str">
        <f t="shared" ca="1" si="13"/>
        <v>07</v>
      </c>
      <c r="V35" s="106" t="str">
        <f t="shared" ca="1" si="14"/>
        <v>07</v>
      </c>
      <c r="W35" s="220">
        <f t="shared" ca="1" si="15"/>
        <v>40.736840999999998</v>
      </c>
      <c r="Z35" s="106">
        <f t="shared" ca="1" si="16"/>
        <v>39.743259512195173</v>
      </c>
    </row>
    <row r="36" spans="2:26">
      <c r="B36" s="114">
        <v>13</v>
      </c>
      <c r="C36" s="115">
        <f t="shared" ca="1" si="1"/>
        <v>46606</v>
      </c>
      <c r="D36" s="115">
        <f t="shared" ca="1" si="2"/>
        <v>46626</v>
      </c>
      <c r="E36" s="116">
        <f t="shared" ca="1" si="3"/>
        <v>31</v>
      </c>
      <c r="F36" s="116">
        <f t="shared" ca="1" si="17"/>
        <v>393</v>
      </c>
      <c r="G36" s="117">
        <f t="shared" ca="1" si="4"/>
        <v>0.80486650000000004</v>
      </c>
      <c r="H36" s="118">
        <f t="shared" ca="1" si="5"/>
        <v>5492.55</v>
      </c>
      <c r="I36" s="118">
        <f t="shared" ca="1" si="0"/>
        <v>415.13</v>
      </c>
      <c r="J36" s="118">
        <f t="shared" ca="1" si="6"/>
        <v>94.86</v>
      </c>
      <c r="K36" s="118">
        <f t="shared" ca="1" si="7"/>
        <v>509.99</v>
      </c>
      <c r="L36" s="119">
        <f t="shared" ca="1" si="18"/>
        <v>5077.42</v>
      </c>
      <c r="M36" s="122">
        <f ca="1">IF($C$16&gt;=B36,(IF(((P36-(J36+(I35*-1)+1))&lt;=0),1,((SUM(I$24:$I36)-(SUM($N$23:$N$25)))))),"-")</f>
        <v>4225.0500000000011</v>
      </c>
      <c r="N36" s="121">
        <f ca="1">IF($C$16&gt;=B36,(IF((M36&lt;=0),1,((SUM($I$24:I36)-(SUM($N$23:N35)))))),"-")</f>
        <v>415.13000000000011</v>
      </c>
      <c r="O36" s="118">
        <f t="shared" ca="1" si="8"/>
        <v>94.8599999999999</v>
      </c>
      <c r="P36" s="119">
        <f t="shared" ca="1" si="9"/>
        <v>509.99</v>
      </c>
      <c r="Q36" s="191">
        <f t="shared" ca="1" si="10"/>
        <v>509.99</v>
      </c>
      <c r="S36" s="192" t="str">
        <f t="shared" ca="1" si="11"/>
        <v>2027/08/07</v>
      </c>
      <c r="T36" s="190" t="str">
        <f t="shared" ca="1" si="12"/>
        <v>2027</v>
      </c>
      <c r="U36" s="106" t="str">
        <f t="shared" ca="1" si="13"/>
        <v>08</v>
      </c>
      <c r="V36" s="106" t="str">
        <f t="shared" ca="1" si="14"/>
        <v>07</v>
      </c>
      <c r="W36" s="220">
        <f t="shared" ca="1" si="15"/>
        <v>37.898595</v>
      </c>
      <c r="Z36" s="106">
        <f t="shared" ca="1" si="16"/>
        <v>36.898234702257419</v>
      </c>
    </row>
    <row r="37" spans="2:26">
      <c r="B37" s="114">
        <v>14</v>
      </c>
      <c r="C37" s="115">
        <f t="shared" ca="1" si="1"/>
        <v>46637</v>
      </c>
      <c r="D37" s="115">
        <f t="shared" ca="1" si="2"/>
        <v>46657</v>
      </c>
      <c r="E37" s="116">
        <f t="shared" ca="1" si="3"/>
        <v>31</v>
      </c>
      <c r="F37" s="116">
        <f t="shared" ca="1" si="17"/>
        <v>424</v>
      </c>
      <c r="G37" s="117">
        <f t="shared" ca="1" si="4"/>
        <v>0.79120188000000002</v>
      </c>
      <c r="H37" s="118">
        <f t="shared" ca="1" si="5"/>
        <v>5077.42</v>
      </c>
      <c r="I37" s="118">
        <f t="shared" ca="1" si="0"/>
        <v>422.3</v>
      </c>
      <c r="J37" s="118">
        <f t="shared" ca="1" si="6"/>
        <v>87.69</v>
      </c>
      <c r="K37" s="118">
        <f t="shared" ca="1" si="7"/>
        <v>509.99</v>
      </c>
      <c r="L37" s="119">
        <f t="shared" ca="1" si="18"/>
        <v>4655.12</v>
      </c>
      <c r="M37" s="122">
        <f ca="1">IF($C$16&gt;=B37,(IF(((P37-(J37+(I36*-1)+1))&lt;=0),1,((SUM(I$24:$I37)-(SUM($N$23:$N$25)))))),"-")</f>
        <v>4647.3500000000013</v>
      </c>
      <c r="N37" s="121">
        <f ca="1">IF($C$16&gt;=B37,(IF((M37&lt;=0),1,((SUM($I$24:I37)-(SUM($N$23:N36)))))),"-")</f>
        <v>422.30000000000018</v>
      </c>
      <c r="O37" s="118">
        <f t="shared" ca="1" si="8"/>
        <v>87.689999999999827</v>
      </c>
      <c r="P37" s="119">
        <f t="shared" ca="1" si="9"/>
        <v>509.99</v>
      </c>
      <c r="Q37" s="191">
        <f t="shared" ca="1" si="10"/>
        <v>509.99</v>
      </c>
      <c r="S37" s="192" t="str">
        <f t="shared" ca="1" si="11"/>
        <v>2027/09/07</v>
      </c>
      <c r="T37" s="190" t="str">
        <f t="shared" ca="1" si="12"/>
        <v>2027</v>
      </c>
      <c r="U37" s="106" t="str">
        <f t="shared" ca="1" si="13"/>
        <v>09</v>
      </c>
      <c r="V37" s="106" t="str">
        <f t="shared" ca="1" si="14"/>
        <v>07</v>
      </c>
      <c r="W37" s="220">
        <f t="shared" ca="1" si="15"/>
        <v>35.034197999999996</v>
      </c>
      <c r="Z37" s="106">
        <f t="shared" ca="1" si="16"/>
        <v>34.039330046252822</v>
      </c>
    </row>
    <row r="38" spans="2:26">
      <c r="B38" s="114">
        <v>15</v>
      </c>
      <c r="C38" s="115">
        <f t="shared" ca="1" si="1"/>
        <v>46667</v>
      </c>
      <c r="D38" s="115">
        <f t="shared" ca="1" si="2"/>
        <v>46687</v>
      </c>
      <c r="E38" s="116">
        <f t="shared" ca="1" si="3"/>
        <v>30</v>
      </c>
      <c r="F38" s="116">
        <f t="shared" ca="1" si="17"/>
        <v>454</v>
      </c>
      <c r="G38" s="117">
        <f t="shared" ca="1" si="4"/>
        <v>0.77819898099999996</v>
      </c>
      <c r="H38" s="118">
        <f t="shared" ca="1" si="5"/>
        <v>4655.12</v>
      </c>
      <c r="I38" s="118">
        <f t="shared" ca="1" si="0"/>
        <v>432.21000000000004</v>
      </c>
      <c r="J38" s="118">
        <f t="shared" ca="1" si="6"/>
        <v>77.78</v>
      </c>
      <c r="K38" s="118">
        <f t="shared" ca="1" si="7"/>
        <v>509.99</v>
      </c>
      <c r="L38" s="119">
        <f t="shared" ca="1" si="18"/>
        <v>4222.91</v>
      </c>
      <c r="M38" s="122">
        <f ca="1">IF($C$16&gt;=B38,(IF(((P38-(J38+(I37*-1)+1))&lt;=0),1,((SUM(I$24:$I38)-(SUM($N$23:$N$25)))))),"-")</f>
        <v>5079.5600000000013</v>
      </c>
      <c r="N38" s="121">
        <f ca="1">IF($C$16&gt;=B38,(IF((M38&lt;=0),1,((SUM($I$24:I38)-(SUM($N$23:N37)))))),"-")</f>
        <v>432.21000000000004</v>
      </c>
      <c r="O38" s="118">
        <f t="shared" ca="1" si="8"/>
        <v>77.779999999999973</v>
      </c>
      <c r="P38" s="119">
        <f t="shared" ca="1" si="9"/>
        <v>509.99</v>
      </c>
      <c r="Q38" s="191">
        <f t="shared" ca="1" si="10"/>
        <v>509.99</v>
      </c>
      <c r="S38" s="192" t="str">
        <f t="shared" ca="1" si="11"/>
        <v>2027/10/07</v>
      </c>
      <c r="T38" s="190" t="str">
        <f t="shared" ca="1" si="12"/>
        <v>2027</v>
      </c>
      <c r="U38" s="106" t="str">
        <f t="shared" ca="1" si="13"/>
        <v>10</v>
      </c>
      <c r="V38" s="106" t="str">
        <f t="shared" ca="1" si="14"/>
        <v>07</v>
      </c>
      <c r="W38" s="220">
        <f t="shared" ca="1" si="15"/>
        <v>32.120328000000001</v>
      </c>
      <c r="Z38" s="106">
        <f t="shared" ca="1" si="16"/>
        <v>31.144053713679771</v>
      </c>
    </row>
    <row r="39" spans="2:26">
      <c r="B39" s="114">
        <v>16</v>
      </c>
      <c r="C39" s="115">
        <f t="shared" ca="1" si="1"/>
        <v>46698</v>
      </c>
      <c r="D39" s="115">
        <f t="shared" ca="1" si="2"/>
        <v>46718</v>
      </c>
      <c r="E39" s="116">
        <f t="shared" ca="1" si="3"/>
        <v>31</v>
      </c>
      <c r="F39" s="116">
        <f t="shared" ca="1" si="17"/>
        <v>485</v>
      </c>
      <c r="G39" s="117">
        <f t="shared" ca="1" si="4"/>
        <v>0.764987109</v>
      </c>
      <c r="H39" s="118">
        <f t="shared" ca="1" si="5"/>
        <v>4222.91</v>
      </c>
      <c r="I39" s="118">
        <f t="shared" ca="1" si="0"/>
        <v>437.06</v>
      </c>
      <c r="J39" s="118">
        <f t="shared" ca="1" si="6"/>
        <v>72.930000000000007</v>
      </c>
      <c r="K39" s="118">
        <f t="shared" ca="1" si="7"/>
        <v>509.99</v>
      </c>
      <c r="L39" s="119">
        <f t="shared" ca="1" si="18"/>
        <v>3785.85</v>
      </c>
      <c r="M39" s="122">
        <f ca="1">IF($C$16&gt;=B39,(IF(((P39-(J39+(I38*-1)+1))&lt;=0),1,((SUM(I$24:$I39)-(SUM($N$23:$N$25)))))),"-")</f>
        <v>5516.6200000000017</v>
      </c>
      <c r="N39" s="121">
        <f ca="1">IF($C$16&gt;=B39,(IF((M39&lt;=0),1,((SUM($I$24:I39)-(SUM($N$23:N38)))))),"-")</f>
        <v>437.0600000000004</v>
      </c>
      <c r="O39" s="118">
        <f t="shared" ca="1" si="8"/>
        <v>72.929999999999609</v>
      </c>
      <c r="P39" s="119">
        <f t="shared" ca="1" si="9"/>
        <v>509.99</v>
      </c>
      <c r="Q39" s="191">
        <f t="shared" ca="1" si="10"/>
        <v>509.99</v>
      </c>
      <c r="S39" s="192" t="str">
        <f t="shared" ca="1" si="11"/>
        <v>2027/11/07</v>
      </c>
      <c r="T39" s="190" t="str">
        <f t="shared" ca="1" si="12"/>
        <v>2027</v>
      </c>
      <c r="U39" s="106" t="str">
        <f t="shared" ca="1" si="13"/>
        <v>11</v>
      </c>
      <c r="V39" s="106" t="str">
        <f t="shared" ca="1" si="14"/>
        <v>07</v>
      </c>
      <c r="W39" s="220">
        <f t="shared" ca="1" si="15"/>
        <v>29.138078999999998</v>
      </c>
      <c r="Z39" s="106">
        <f t="shared" ca="1" si="16"/>
        <v>28.194372238302773</v>
      </c>
    </row>
    <row r="40" spans="2:26">
      <c r="B40" s="114">
        <v>17</v>
      </c>
      <c r="C40" s="115">
        <f t="shared" ca="1" si="1"/>
        <v>46728</v>
      </c>
      <c r="D40" s="115">
        <f t="shared" ca="1" si="2"/>
        <v>46748</v>
      </c>
      <c r="E40" s="116">
        <f t="shared" ca="1" si="3"/>
        <v>30</v>
      </c>
      <c r="F40" s="116">
        <f t="shared" ca="1" si="17"/>
        <v>515</v>
      </c>
      <c r="G40" s="117">
        <f t="shared" ca="1" si="4"/>
        <v>0.75241503399999998</v>
      </c>
      <c r="H40" s="118">
        <f t="shared" ca="1" si="5"/>
        <v>3785.85</v>
      </c>
      <c r="I40" s="118">
        <f t="shared" ca="1" si="0"/>
        <v>446.73</v>
      </c>
      <c r="J40" s="118">
        <f t="shared" ca="1" si="6"/>
        <v>63.26</v>
      </c>
      <c r="K40" s="118">
        <f t="shared" ca="1" si="7"/>
        <v>509.99</v>
      </c>
      <c r="L40" s="119">
        <f t="shared" ca="1" si="18"/>
        <v>3339.12</v>
      </c>
      <c r="M40" s="122">
        <f ca="1">IF($C$16&gt;=B40,(IF(((P40-(J40+(I39*-1)+1))&lt;=0),1,((SUM(I$24:$I40)-(SUM($N$23:$N$25)))))),"-")</f>
        <v>5963.3500000000013</v>
      </c>
      <c r="N40" s="121">
        <f ca="1">IF($C$16&gt;=B40,(IF((M40&lt;=0),1,((SUM($I$24:I40)-(SUM($N$23:N39)))))),"-")</f>
        <v>446.72999999999956</v>
      </c>
      <c r="O40" s="118">
        <f t="shared" ca="1" si="8"/>
        <v>63.260000000000446</v>
      </c>
      <c r="P40" s="119">
        <f t="shared" ca="1" si="9"/>
        <v>509.99</v>
      </c>
      <c r="Q40" s="191">
        <f t="shared" ca="1" si="10"/>
        <v>509.99</v>
      </c>
      <c r="S40" s="192" t="str">
        <f t="shared" ca="1" si="11"/>
        <v>2027/12/07</v>
      </c>
      <c r="T40" s="190" t="str">
        <f t="shared" ca="1" si="12"/>
        <v>2027</v>
      </c>
      <c r="U40" s="106" t="str">
        <f t="shared" ca="1" si="13"/>
        <v>12</v>
      </c>
      <c r="V40" s="106" t="str">
        <f t="shared" ca="1" si="14"/>
        <v>07</v>
      </c>
      <c r="W40" s="220">
        <f t="shared" ca="1" si="15"/>
        <v>26.122364999999999</v>
      </c>
      <c r="Z40" s="106">
        <f t="shared" ca="1" si="16"/>
        <v>25.224371313675992</v>
      </c>
    </row>
    <row r="41" spans="2:26">
      <c r="B41" s="114">
        <v>18</v>
      </c>
      <c r="C41" s="115">
        <f t="shared" ca="1" si="1"/>
        <v>46759</v>
      </c>
      <c r="D41" s="115">
        <f t="shared" ca="1" si="2"/>
        <v>46779</v>
      </c>
      <c r="E41" s="116">
        <f t="shared" ca="1" si="3"/>
        <v>31</v>
      </c>
      <c r="F41" s="116">
        <f t="shared" ca="1" si="17"/>
        <v>546</v>
      </c>
      <c r="G41" s="117">
        <f t="shared" ca="1" si="4"/>
        <v>0.73964090900000001</v>
      </c>
      <c r="H41" s="118">
        <f t="shared" ca="1" si="5"/>
        <v>3339.12</v>
      </c>
      <c r="I41" s="118">
        <f t="shared" ca="1" si="0"/>
        <v>452.32</v>
      </c>
      <c r="J41" s="118">
        <f t="shared" ca="1" si="6"/>
        <v>57.67</v>
      </c>
      <c r="K41" s="118">
        <f t="shared" ca="1" si="7"/>
        <v>509.99</v>
      </c>
      <c r="L41" s="119">
        <f t="shared" ca="1" si="18"/>
        <v>2886.7999999999997</v>
      </c>
      <c r="M41" s="122">
        <f ca="1">IF($C$16&gt;=B41,(IF(((P41-(J41+(I40*-1)+1))&lt;=0),1,((SUM(I$24:$I41)-(SUM($N$23:$N$25)))))),"-")</f>
        <v>6415.670000000001</v>
      </c>
      <c r="N41" s="121">
        <f ca="1">IF($C$16&gt;=B41,(IF((M41&lt;=0),1,((SUM($I$24:I41)-(SUM($N$23:N40)))))),"-")</f>
        <v>452.31999999999971</v>
      </c>
      <c r="O41" s="118">
        <f t="shared" ca="1" si="8"/>
        <v>57.6700000000003</v>
      </c>
      <c r="P41" s="119">
        <f t="shared" ca="1" si="9"/>
        <v>509.99</v>
      </c>
      <c r="Q41" s="191">
        <f t="shared" ca="1" si="10"/>
        <v>509.99</v>
      </c>
      <c r="S41" s="192" t="str">
        <f t="shared" ca="1" si="11"/>
        <v>2028/01/07</v>
      </c>
      <c r="T41" s="190" t="str">
        <f t="shared" ca="1" si="12"/>
        <v>2028</v>
      </c>
      <c r="U41" s="106" t="str">
        <f t="shared" ca="1" si="13"/>
        <v>01</v>
      </c>
      <c r="V41" s="106" t="str">
        <f t="shared" ca="1" si="14"/>
        <v>07</v>
      </c>
      <c r="W41" s="220">
        <f t="shared" ca="1" si="15"/>
        <v>23.039928</v>
      </c>
      <c r="Z41" s="106">
        <f t="shared" ca="1" si="16"/>
        <v>22.202164673439643</v>
      </c>
    </row>
    <row r="42" spans="2:26">
      <c r="B42" s="114">
        <v>19</v>
      </c>
      <c r="C42" s="115">
        <f t="shared" ca="1" si="1"/>
        <v>46790</v>
      </c>
      <c r="D42" s="115">
        <f t="shared" ca="1" si="2"/>
        <v>46810</v>
      </c>
      <c r="E42" s="116">
        <f t="shared" ca="1" si="3"/>
        <v>31</v>
      </c>
      <c r="F42" s="116">
        <f t="shared" ca="1" si="17"/>
        <v>577</v>
      </c>
      <c r="G42" s="117">
        <f t="shared" ca="1" si="4"/>
        <v>0.72708365600000002</v>
      </c>
      <c r="H42" s="118">
        <f t="shared" ca="1" si="5"/>
        <v>2886.7999999999997</v>
      </c>
      <c r="I42" s="118">
        <f t="shared" ca="1" si="0"/>
        <v>460.13</v>
      </c>
      <c r="J42" s="118">
        <f t="shared" ca="1" si="6"/>
        <v>49.86</v>
      </c>
      <c r="K42" s="118">
        <f t="shared" ca="1" si="7"/>
        <v>509.99</v>
      </c>
      <c r="L42" s="119">
        <f t="shared" ca="1" si="18"/>
        <v>2426.6699999999996</v>
      </c>
      <c r="M42" s="122">
        <f ca="1">IF($C$16&gt;=B42,(IF(((P42-(J42+(I41*-1)+1))&lt;=0),1,((SUM(I$24:$I42)-(SUM($N$23:$N$25)))))),"-")</f>
        <v>6875.8000000000011</v>
      </c>
      <c r="N42" s="121">
        <f ca="1">IF($C$16&gt;=B42,(IF((M42&lt;=0),1,((SUM($I$24:I42)-(SUM($N$23:N41)))))),"-")</f>
        <v>460.13000000000011</v>
      </c>
      <c r="O42" s="118">
        <f t="shared" ca="1" si="8"/>
        <v>49.8599999999999</v>
      </c>
      <c r="P42" s="119">
        <f t="shared" ca="1" si="9"/>
        <v>509.99</v>
      </c>
      <c r="Q42" s="191">
        <f t="shared" ca="1" si="10"/>
        <v>509.99</v>
      </c>
      <c r="S42" s="192" t="str">
        <f t="shared" ca="1" si="11"/>
        <v>2028/02/07</v>
      </c>
      <c r="T42" s="190" t="str">
        <f t="shared" ca="1" si="12"/>
        <v>2028</v>
      </c>
      <c r="U42" s="106" t="str">
        <f t="shared" ca="1" si="13"/>
        <v>02</v>
      </c>
      <c r="V42" s="106" t="str">
        <f t="shared" ca="1" si="14"/>
        <v>07</v>
      </c>
      <c r="W42" s="220">
        <f t="shared" ca="1" si="15"/>
        <v>19.918919999999996</v>
      </c>
      <c r="Z42" s="106">
        <f t="shared" ca="1" si="16"/>
        <v>19.155184254079373</v>
      </c>
    </row>
    <row r="43" spans="2:26">
      <c r="B43" s="114">
        <v>20</v>
      </c>
      <c r="C43" s="115">
        <f t="shared" ca="1" si="1"/>
        <v>46819</v>
      </c>
      <c r="D43" s="115">
        <f t="shared" ca="1" si="2"/>
        <v>46839</v>
      </c>
      <c r="E43" s="116">
        <f t="shared" ca="1" si="3"/>
        <v>29</v>
      </c>
      <c r="F43" s="116">
        <f t="shared" ca="1" si="17"/>
        <v>606</v>
      </c>
      <c r="G43" s="117">
        <f t="shared" ca="1" si="4"/>
        <v>0.715529623</v>
      </c>
      <c r="H43" s="118">
        <f t="shared" ca="1" si="5"/>
        <v>2426.6699999999996</v>
      </c>
      <c r="I43" s="118">
        <f t="shared" ca="1" si="0"/>
        <v>470.81</v>
      </c>
      <c r="J43" s="118">
        <f t="shared" ca="1" si="6"/>
        <v>39.18</v>
      </c>
      <c r="K43" s="118">
        <f t="shared" ca="1" si="7"/>
        <v>509.99</v>
      </c>
      <c r="L43" s="119">
        <f t="shared" ca="1" si="18"/>
        <v>1955.8599999999997</v>
      </c>
      <c r="M43" s="122">
        <f ca="1">IF($C$16&gt;=B43,(IF(((P43-(J43+(I42*-1)+1))&lt;=0),1,((SUM(I$24:$I43)-(SUM($N$23:$N$25)))))),"-")</f>
        <v>7346.6100000000015</v>
      </c>
      <c r="N43" s="121">
        <f ca="1">IF($C$16&gt;=B43,(IF((M43&lt;=0),1,((SUM($I$24:I43)-(SUM($N$23:N42)))))),"-")</f>
        <v>470.8100000000004</v>
      </c>
      <c r="O43" s="118">
        <f t="shared" ca="1" si="8"/>
        <v>39.179999999999609</v>
      </c>
      <c r="P43" s="119">
        <f t="shared" ca="1" si="9"/>
        <v>509.99</v>
      </c>
      <c r="Q43" s="191">
        <f t="shared" ca="1" si="10"/>
        <v>509.99</v>
      </c>
      <c r="S43" s="192" t="str">
        <f t="shared" ca="1" si="11"/>
        <v>2028/03/07</v>
      </c>
      <c r="T43" s="190" t="str">
        <f t="shared" ca="1" si="12"/>
        <v>2028</v>
      </c>
      <c r="U43" s="106" t="str">
        <f t="shared" ca="1" si="13"/>
        <v>03</v>
      </c>
      <c r="V43" s="106" t="str">
        <f t="shared" ca="1" si="14"/>
        <v>07</v>
      </c>
      <c r="W43" s="220">
        <f t="shared" ca="1" si="15"/>
        <v>16.744022999999999</v>
      </c>
      <c r="Z43" s="106">
        <f t="shared" ca="1" si="16"/>
        <v>16.068920529225245</v>
      </c>
    </row>
    <row r="44" spans="2:26">
      <c r="B44" s="114">
        <v>21</v>
      </c>
      <c r="C44" s="115">
        <f t="shared" ca="1" si="1"/>
        <v>46850</v>
      </c>
      <c r="D44" s="115">
        <f t="shared" ca="1" si="2"/>
        <v>46870</v>
      </c>
      <c r="E44" s="116">
        <f t="shared" ca="1" si="3"/>
        <v>31</v>
      </c>
      <c r="F44" s="116">
        <f t="shared" ca="1" si="17"/>
        <v>637</v>
      </c>
      <c r="G44" s="117">
        <f t="shared" ca="1" si="4"/>
        <v>0.70338171999999999</v>
      </c>
      <c r="H44" s="118">
        <f t="shared" ca="1" si="5"/>
        <v>1955.8599999999997</v>
      </c>
      <c r="I44" s="118">
        <f t="shared" ca="1" si="0"/>
        <v>476.21000000000004</v>
      </c>
      <c r="J44" s="118">
        <f t="shared" ca="1" si="6"/>
        <v>33.78</v>
      </c>
      <c r="K44" s="118">
        <f t="shared" ca="1" si="7"/>
        <v>509.99</v>
      </c>
      <c r="L44" s="119">
        <f t="shared" ca="1" si="18"/>
        <v>1479.6499999999996</v>
      </c>
      <c r="M44" s="122">
        <f ca="1">IF($C$16&gt;=B44,(IF(((P44-(J44+(I43*-1)+1))&lt;=0),1,((SUM(I$24:$I44)-(SUM($N$23:$N$25)))))),"-")</f>
        <v>7822.8200000000024</v>
      </c>
      <c r="N44" s="121">
        <f ca="1">IF($C$16&gt;=B44,(IF((M44&lt;=0),1,((SUM($I$24:I44)-(SUM($N$23:N43)))))),"-")</f>
        <v>476.21000000000095</v>
      </c>
      <c r="O44" s="118">
        <f t="shared" ca="1" si="8"/>
        <v>33.779999999999063</v>
      </c>
      <c r="P44" s="119">
        <f t="shared" ca="1" si="9"/>
        <v>509.99</v>
      </c>
      <c r="Q44" s="191">
        <f t="shared" ca="1" si="10"/>
        <v>509.99</v>
      </c>
      <c r="S44" s="192" t="str">
        <f t="shared" ca="1" si="11"/>
        <v>2028/04/07</v>
      </c>
      <c r="T44" s="190" t="str">
        <f t="shared" ca="1" si="12"/>
        <v>2028</v>
      </c>
      <c r="U44" s="106" t="str">
        <f t="shared" ca="1" si="13"/>
        <v>04</v>
      </c>
      <c r="V44" s="106" t="str">
        <f t="shared" ca="1" si="14"/>
        <v>07</v>
      </c>
      <c r="W44" s="220">
        <f t="shared" ca="1" si="15"/>
        <v>13.495433999999998</v>
      </c>
      <c r="Z44" s="106">
        <f t="shared" ca="1" si="16"/>
        <v>12.924688686828693</v>
      </c>
    </row>
    <row r="45" spans="2:26">
      <c r="B45" s="114">
        <v>22</v>
      </c>
      <c r="C45" s="115">
        <f t="shared" ca="1" si="1"/>
        <v>46880</v>
      </c>
      <c r="D45" s="115">
        <f t="shared" ca="1" si="2"/>
        <v>46900</v>
      </c>
      <c r="E45" s="116">
        <f t="shared" ca="1" si="3"/>
        <v>30</v>
      </c>
      <c r="F45" s="116">
        <f t="shared" ca="1" si="17"/>
        <v>667</v>
      </c>
      <c r="G45" s="117">
        <f t="shared" ca="1" si="4"/>
        <v>0.69182208999999995</v>
      </c>
      <c r="H45" s="118">
        <f t="shared" ca="1" si="5"/>
        <v>1479.6499999999996</v>
      </c>
      <c r="I45" s="118">
        <f t="shared" ca="1" si="0"/>
        <v>485.27</v>
      </c>
      <c r="J45" s="118">
        <f t="shared" ca="1" si="6"/>
        <v>24.72</v>
      </c>
      <c r="K45" s="118">
        <f t="shared" ca="1" si="7"/>
        <v>509.99</v>
      </c>
      <c r="L45" s="119">
        <f t="shared" ca="1" si="18"/>
        <v>994.37999999999965</v>
      </c>
      <c r="M45" s="122">
        <f ca="1">IF($C$16&gt;=B45,(IF(((P45-(J45+(I44*-1)+1))&lt;=0),1,((SUM(I$24:$I45)-(SUM($N$23:$N$25)))))),"-")</f>
        <v>8308.090000000002</v>
      </c>
      <c r="N45" s="121">
        <f ca="1">IF($C$16&gt;=B45,(IF((M45&lt;=0),1,((SUM($I$24:I45)-(SUM($N$23:N44)))))),"-")</f>
        <v>485.27000000000044</v>
      </c>
      <c r="O45" s="118">
        <f t="shared" ca="1" si="8"/>
        <v>24.719999999999573</v>
      </c>
      <c r="P45" s="119">
        <f t="shared" ca="1" si="9"/>
        <v>509.99</v>
      </c>
      <c r="Q45" s="191">
        <f t="shared" ca="1" si="10"/>
        <v>509.99</v>
      </c>
      <c r="S45" s="192" t="str">
        <f t="shared" ca="1" si="11"/>
        <v>2028/05/07</v>
      </c>
      <c r="T45" s="190" t="str">
        <f t="shared" ca="1" si="12"/>
        <v>2028</v>
      </c>
      <c r="U45" s="106" t="str">
        <f t="shared" ca="1" si="13"/>
        <v>05</v>
      </c>
      <c r="V45" s="106" t="str">
        <f t="shared" ca="1" si="14"/>
        <v>07</v>
      </c>
      <c r="W45" s="220">
        <f t="shared" ca="1" si="15"/>
        <v>10.209584999999997</v>
      </c>
      <c r="Z45" s="106">
        <f t="shared" ca="1" si="16"/>
        <v>9.7577046667214553</v>
      </c>
    </row>
    <row r="46" spans="2:26">
      <c r="B46" s="114">
        <v>23</v>
      </c>
      <c r="C46" s="115">
        <f t="shared" ca="1" si="1"/>
        <v>46911</v>
      </c>
      <c r="D46" s="115">
        <f t="shared" ca="1" si="2"/>
        <v>46931</v>
      </c>
      <c r="E46" s="116">
        <f t="shared" ca="1" si="3"/>
        <v>31</v>
      </c>
      <c r="F46" s="116">
        <f t="shared" ca="1" si="17"/>
        <v>698</v>
      </c>
      <c r="G46" s="117">
        <f t="shared" ca="1" si="4"/>
        <v>0.68007668099999996</v>
      </c>
      <c r="H46" s="118">
        <f t="shared" ca="1" si="5"/>
        <v>994.37999999999965</v>
      </c>
      <c r="I46" s="118">
        <f t="shared" ca="1" si="0"/>
        <v>492.82</v>
      </c>
      <c r="J46" s="118">
        <f t="shared" ca="1" si="6"/>
        <v>17.170000000000002</v>
      </c>
      <c r="K46" s="118">
        <f t="shared" ca="1" si="7"/>
        <v>509.99</v>
      </c>
      <c r="L46" s="119">
        <f t="shared" ca="1" si="18"/>
        <v>501.55999999999966</v>
      </c>
      <c r="M46" s="122">
        <f ca="1">IF($C$16&gt;=B46,(IF(((P46-(J46+(I45*-1)+1))&lt;=0),1,((SUM(I$24:$I46)-(SUM($N$23:$N$25)))))),"-")</f>
        <v>8800.9100000000017</v>
      </c>
      <c r="N46" s="121">
        <f ca="1">IF($C$16&gt;=B46,(IF((M46&lt;=0),1,((SUM($I$24:I46)-(SUM($N$23:N45)))))),"-")</f>
        <v>492.81999999999971</v>
      </c>
      <c r="O46" s="118">
        <f t="shared" ca="1" si="8"/>
        <v>17.1700000000003</v>
      </c>
      <c r="P46" s="119">
        <f t="shared" ca="1" si="9"/>
        <v>509.99</v>
      </c>
      <c r="Q46" s="191">
        <f t="shared" ca="1" si="10"/>
        <v>509.99</v>
      </c>
      <c r="S46" s="192" t="str">
        <f t="shared" ca="1" si="11"/>
        <v>2028/06/07</v>
      </c>
      <c r="T46" s="190" t="str">
        <f t="shared" ca="1" si="12"/>
        <v>2028</v>
      </c>
      <c r="U46" s="106" t="str">
        <f t="shared" ca="1" si="13"/>
        <v>06</v>
      </c>
      <c r="V46" s="106" t="str">
        <f t="shared" ca="1" si="14"/>
        <v>07</v>
      </c>
      <c r="W46" s="220">
        <f t="shared" ca="1" si="15"/>
        <v>6.8612219999999979</v>
      </c>
      <c r="Z46" s="106">
        <f t="shared" ca="1" si="16"/>
        <v>6.5440618621592481</v>
      </c>
    </row>
    <row r="47" spans="2:26">
      <c r="B47" s="114">
        <v>24</v>
      </c>
      <c r="C47" s="115">
        <f t="shared" ca="1" si="1"/>
        <v>46941</v>
      </c>
      <c r="D47" s="115">
        <f t="shared" ca="1" si="2"/>
        <v>46961</v>
      </c>
      <c r="E47" s="116">
        <f t="shared" ca="1" si="3"/>
        <v>30</v>
      </c>
      <c r="F47" s="116">
        <f t="shared" ca="1" si="17"/>
        <v>728</v>
      </c>
      <c r="G47" s="117">
        <f t="shared" ca="1" si="4"/>
        <v>0.66890005399999997</v>
      </c>
      <c r="H47" s="118">
        <f t="shared" ca="1" si="5"/>
        <v>501.55999999999966</v>
      </c>
      <c r="I47" s="118">
        <f t="shared" ca="1" si="0"/>
        <v>501.55999999999966</v>
      </c>
      <c r="J47" s="118">
        <f t="shared" ca="1" si="6"/>
        <v>8.4300000000003479</v>
      </c>
      <c r="K47" s="118">
        <f t="shared" ca="1" si="7"/>
        <v>509.99</v>
      </c>
      <c r="L47" s="119">
        <f t="shared" ca="1" si="18"/>
        <v>0</v>
      </c>
      <c r="M47" s="122">
        <f ca="1">IF($C$16&gt;=B47,(IF(((P47-(J47+(I46*-1)+1))&lt;=0),1,((SUM(I$24:$I47)-(SUM($N$23:$N$25)))))),"-")</f>
        <v>9302.4700000000012</v>
      </c>
      <c r="N47" s="121">
        <f ca="1">IF($C$16&gt;=B47,(IF((M47&lt;=0),1,((SUM($I$24:I47)-(SUM($N$23:N46)))))),"-")</f>
        <v>501.55999999999949</v>
      </c>
      <c r="O47" s="118">
        <f t="shared" ca="1" si="8"/>
        <v>8.4300000000005184</v>
      </c>
      <c r="P47" s="119">
        <f t="shared" ca="1" si="9"/>
        <v>509.99</v>
      </c>
      <c r="Q47" s="191">
        <f t="shared" ca="1" si="10"/>
        <v>509.99</v>
      </c>
      <c r="S47" s="192" t="str">
        <f t="shared" ca="1" si="11"/>
        <v>2028/07/07</v>
      </c>
      <c r="T47" s="190" t="str">
        <f t="shared" ca="1" si="12"/>
        <v>2028</v>
      </c>
      <c r="U47" s="106" t="str">
        <f t="shared" ca="1" si="13"/>
        <v>07</v>
      </c>
      <c r="V47" s="106" t="str">
        <f t="shared" ca="1" si="14"/>
        <v>07</v>
      </c>
      <c r="W47" s="220">
        <f t="shared" ca="1" si="15"/>
        <v>3.4607639999999975</v>
      </c>
      <c r="Z47" s="106">
        <f t="shared" ca="1" si="16"/>
        <v>3.2940049970255871</v>
      </c>
    </row>
    <row r="48" spans="2:26">
      <c r="B48" s="114">
        <v>25</v>
      </c>
      <c r="C48" s="115" t="str">
        <f t="shared" si="1"/>
        <v>-</v>
      </c>
      <c r="D48" s="115" t="str">
        <f t="shared" si="2"/>
        <v>-</v>
      </c>
      <c r="E48" s="116" t="str">
        <f t="shared" si="3"/>
        <v>-</v>
      </c>
      <c r="F48" s="116" t="str">
        <f t="shared" si="17"/>
        <v>-</v>
      </c>
      <c r="G48" s="117" t="str">
        <f t="shared" si="4"/>
        <v>-</v>
      </c>
      <c r="H48" s="118" t="str">
        <f t="shared" si="5"/>
        <v>-</v>
      </c>
      <c r="I48" s="118" t="str">
        <f t="shared" si="0"/>
        <v>-</v>
      </c>
      <c r="J48" s="118" t="str">
        <f t="shared" si="6"/>
        <v>-</v>
      </c>
      <c r="K48" s="118" t="str">
        <f t="shared" si="7"/>
        <v>-</v>
      </c>
      <c r="L48" s="119" t="str">
        <f t="shared" si="18"/>
        <v>-</v>
      </c>
      <c r="M48" s="122" t="str">
        <f>IF($C$16&gt;=B48,(IF(((P48-(J48+(I47*-1)+1))&lt;=0),1,((SUM(I$24:$I48)-(SUM($N$23:$N$25)))))),"-")</f>
        <v>-</v>
      </c>
      <c r="N48" s="121" t="str">
        <f>IF($C$16&gt;=B48,(IF((M48&lt;=0),1,((SUM($I$24:I48)-(SUM($N$23:N47)))))),"-")</f>
        <v>-</v>
      </c>
      <c r="O48" s="118" t="str">
        <f t="shared" si="8"/>
        <v>-</v>
      </c>
      <c r="P48" s="119" t="str">
        <f t="shared" si="9"/>
        <v>-</v>
      </c>
      <c r="Q48" s="191" t="str">
        <f t="shared" si="10"/>
        <v>-</v>
      </c>
      <c r="S48" s="192" t="str">
        <f t="shared" si="11"/>
        <v>-</v>
      </c>
      <c r="T48" s="190" t="str">
        <f t="shared" ca="1" si="12"/>
        <v>2028</v>
      </c>
      <c r="U48" s="106" t="str">
        <f t="shared" ca="1" si="13"/>
        <v>08</v>
      </c>
      <c r="V48" s="106" t="str">
        <f t="shared" ca="1" si="14"/>
        <v>07</v>
      </c>
      <c r="W48" s="220" t="str">
        <f t="shared" si="15"/>
        <v/>
      </c>
      <c r="Z48" s="106" t="str">
        <f t="shared" si="16"/>
        <v/>
      </c>
    </row>
    <row r="49" spans="2:26">
      <c r="B49" s="114">
        <v>26</v>
      </c>
      <c r="C49" s="115" t="str">
        <f t="shared" si="1"/>
        <v>-</v>
      </c>
      <c r="D49" s="115" t="str">
        <f t="shared" si="2"/>
        <v>-</v>
      </c>
      <c r="E49" s="116" t="str">
        <f t="shared" si="3"/>
        <v>-</v>
      </c>
      <c r="F49" s="116" t="str">
        <f t="shared" si="17"/>
        <v>-</v>
      </c>
      <c r="G49" s="117" t="str">
        <f t="shared" si="4"/>
        <v>-</v>
      </c>
      <c r="H49" s="118" t="str">
        <f t="shared" si="5"/>
        <v>-</v>
      </c>
      <c r="I49" s="118" t="str">
        <f t="shared" si="0"/>
        <v>-</v>
      </c>
      <c r="J49" s="118" t="str">
        <f t="shared" si="6"/>
        <v>-</v>
      </c>
      <c r="K49" s="118" t="str">
        <f t="shared" si="7"/>
        <v>-</v>
      </c>
      <c r="L49" s="119" t="str">
        <f t="shared" si="18"/>
        <v>-</v>
      </c>
      <c r="M49" s="122" t="str">
        <f>IF($C$16&gt;=B49,(IF(((P49-(J49+(I48*-1)+1))&lt;=0),1,((SUM(I$24:$I49)-(SUM($N$23:$N$25)))))),"-")</f>
        <v>-</v>
      </c>
      <c r="N49" s="121" t="str">
        <f>IF($C$16&gt;=B49,(IF((M49&lt;=0),1,((SUM($I$24:I49)-(SUM($N$23:N48)))))),"-")</f>
        <v>-</v>
      </c>
      <c r="O49" s="118" t="str">
        <f t="shared" si="8"/>
        <v>-</v>
      </c>
      <c r="P49" s="119" t="str">
        <f t="shared" si="9"/>
        <v>-</v>
      </c>
      <c r="Q49" s="191" t="str">
        <f t="shared" si="10"/>
        <v>-</v>
      </c>
      <c r="S49" s="192" t="str">
        <f t="shared" si="11"/>
        <v>-</v>
      </c>
      <c r="T49" s="190" t="str">
        <f t="shared" ca="1" si="12"/>
        <v>2028</v>
      </c>
      <c r="U49" s="106" t="str">
        <f t="shared" ca="1" si="13"/>
        <v>09</v>
      </c>
      <c r="V49" s="106" t="str">
        <f t="shared" ca="1" si="14"/>
        <v>07</v>
      </c>
      <c r="W49" s="220" t="str">
        <f t="shared" si="15"/>
        <v/>
      </c>
      <c r="Z49" s="106" t="str">
        <f t="shared" si="16"/>
        <v/>
      </c>
    </row>
    <row r="50" spans="2:26">
      <c r="B50" s="114">
        <v>27</v>
      </c>
      <c r="C50" s="115" t="str">
        <f t="shared" si="1"/>
        <v>-</v>
      </c>
      <c r="D50" s="115" t="str">
        <f t="shared" si="2"/>
        <v>-</v>
      </c>
      <c r="E50" s="116" t="str">
        <f t="shared" si="3"/>
        <v>-</v>
      </c>
      <c r="F50" s="116" t="str">
        <f t="shared" si="17"/>
        <v>-</v>
      </c>
      <c r="G50" s="117" t="str">
        <f t="shared" si="4"/>
        <v>-</v>
      </c>
      <c r="H50" s="118" t="str">
        <f t="shared" si="5"/>
        <v>-</v>
      </c>
      <c r="I50" s="118" t="str">
        <f t="shared" si="0"/>
        <v>-</v>
      </c>
      <c r="J50" s="118" t="str">
        <f t="shared" si="6"/>
        <v>-</v>
      </c>
      <c r="K50" s="118" t="str">
        <f t="shared" si="7"/>
        <v>-</v>
      </c>
      <c r="L50" s="119" t="str">
        <f t="shared" si="18"/>
        <v>-</v>
      </c>
      <c r="M50" s="122" t="str">
        <f>IF($C$16&gt;=B50,(IF(((P50-(J50+(I49*-1)+1))&lt;=0),1,((SUM(I$24:$I50)-(SUM($N$23:$N$25)))))),"-")</f>
        <v>-</v>
      </c>
      <c r="N50" s="121" t="str">
        <f>IF($C$16&gt;=B50,(IF((M50&lt;=0),1,((SUM($I$24:I50)-(SUM($N$23:N49)))))),"-")</f>
        <v>-</v>
      </c>
      <c r="O50" s="118" t="str">
        <f t="shared" si="8"/>
        <v>-</v>
      </c>
      <c r="P50" s="119" t="str">
        <f t="shared" si="9"/>
        <v>-</v>
      </c>
      <c r="Q50" s="191" t="str">
        <f t="shared" si="10"/>
        <v>-</v>
      </c>
      <c r="S50" s="192" t="str">
        <f t="shared" si="11"/>
        <v>-</v>
      </c>
      <c r="T50" s="190" t="str">
        <f t="shared" ca="1" si="12"/>
        <v>2028</v>
      </c>
      <c r="U50" s="106" t="str">
        <f t="shared" ca="1" si="13"/>
        <v>10</v>
      </c>
      <c r="V50" s="106" t="str">
        <f t="shared" ca="1" si="14"/>
        <v>07</v>
      </c>
      <c r="W50" s="220" t="str">
        <f t="shared" si="15"/>
        <v/>
      </c>
      <c r="Z50" s="106" t="str">
        <f t="shared" si="16"/>
        <v/>
      </c>
    </row>
    <row r="51" spans="2:26">
      <c r="B51" s="114">
        <v>28</v>
      </c>
      <c r="C51" s="115" t="str">
        <f t="shared" si="1"/>
        <v>-</v>
      </c>
      <c r="D51" s="115" t="str">
        <f t="shared" si="2"/>
        <v>-</v>
      </c>
      <c r="E51" s="116" t="str">
        <f t="shared" si="3"/>
        <v>-</v>
      </c>
      <c r="F51" s="116" t="str">
        <f t="shared" si="17"/>
        <v>-</v>
      </c>
      <c r="G51" s="117" t="str">
        <f t="shared" si="4"/>
        <v>-</v>
      </c>
      <c r="H51" s="118" t="str">
        <f t="shared" si="5"/>
        <v>-</v>
      </c>
      <c r="I51" s="118" t="str">
        <f t="shared" si="0"/>
        <v>-</v>
      </c>
      <c r="J51" s="118" t="str">
        <f t="shared" si="6"/>
        <v>-</v>
      </c>
      <c r="K51" s="118" t="str">
        <f t="shared" si="7"/>
        <v>-</v>
      </c>
      <c r="L51" s="119" t="str">
        <f t="shared" si="18"/>
        <v>-</v>
      </c>
      <c r="M51" s="122" t="str">
        <f>IF($C$16&gt;=B51,(IF(((P51-(J51+(I50*-1)+1))&lt;=0),1,((SUM(I$24:$I51)-(SUM($N$23:$N$25)))))),"-")</f>
        <v>-</v>
      </c>
      <c r="N51" s="121" t="str">
        <f>IF($C$16&gt;=B51,(IF((M51&lt;=0),1,((SUM($I$24:I51)-(SUM($N$23:N50)))))),"-")</f>
        <v>-</v>
      </c>
      <c r="O51" s="118" t="str">
        <f t="shared" si="8"/>
        <v>-</v>
      </c>
      <c r="P51" s="119" t="str">
        <f t="shared" si="9"/>
        <v>-</v>
      </c>
      <c r="Q51" s="191" t="str">
        <f t="shared" si="10"/>
        <v>-</v>
      </c>
      <c r="S51" s="192" t="str">
        <f t="shared" si="11"/>
        <v>-</v>
      </c>
      <c r="T51" s="190" t="str">
        <f t="shared" ca="1" si="12"/>
        <v>2028</v>
      </c>
      <c r="U51" s="106" t="str">
        <f t="shared" ca="1" si="13"/>
        <v>11</v>
      </c>
      <c r="V51" s="106" t="str">
        <f t="shared" ca="1" si="14"/>
        <v>07</v>
      </c>
      <c r="W51" s="220" t="str">
        <f t="shared" si="15"/>
        <v/>
      </c>
      <c r="Z51" s="106" t="str">
        <f t="shared" si="16"/>
        <v/>
      </c>
    </row>
    <row r="52" spans="2:26">
      <c r="B52" s="114">
        <v>29</v>
      </c>
      <c r="C52" s="115" t="str">
        <f t="shared" si="1"/>
        <v>-</v>
      </c>
      <c r="D52" s="115" t="str">
        <f t="shared" si="2"/>
        <v>-</v>
      </c>
      <c r="E52" s="116" t="str">
        <f t="shared" si="3"/>
        <v>-</v>
      </c>
      <c r="F52" s="116" t="str">
        <f t="shared" si="17"/>
        <v>-</v>
      </c>
      <c r="G52" s="117" t="str">
        <f t="shared" si="4"/>
        <v>-</v>
      </c>
      <c r="H52" s="118" t="str">
        <f t="shared" si="5"/>
        <v>-</v>
      </c>
      <c r="I52" s="118" t="str">
        <f t="shared" si="0"/>
        <v>-</v>
      </c>
      <c r="J52" s="118" t="str">
        <f t="shared" si="6"/>
        <v>-</v>
      </c>
      <c r="K52" s="118" t="str">
        <f t="shared" si="7"/>
        <v>-</v>
      </c>
      <c r="L52" s="119" t="str">
        <f t="shared" si="18"/>
        <v>-</v>
      </c>
      <c r="M52" s="122" t="str">
        <f>IF($C$16&gt;=B52,(IF(((P52-(J52+(I51*-1)+1))&lt;=0),1,((SUM(I$24:$I52)-(SUM($N$23:$N$25)))))),"-")</f>
        <v>-</v>
      </c>
      <c r="N52" s="121" t="str">
        <f>IF($C$16&gt;=B52,(IF((M52&lt;=0),1,((SUM($I$24:I52)-(SUM($N$23:N51)))))),"-")</f>
        <v>-</v>
      </c>
      <c r="O52" s="118" t="str">
        <f t="shared" si="8"/>
        <v>-</v>
      </c>
      <c r="P52" s="119" t="str">
        <f t="shared" si="9"/>
        <v>-</v>
      </c>
      <c r="Q52" s="191" t="str">
        <f t="shared" si="10"/>
        <v>-</v>
      </c>
      <c r="S52" s="192" t="str">
        <f t="shared" si="11"/>
        <v>-</v>
      </c>
      <c r="T52" s="190" t="str">
        <f t="shared" ca="1" si="12"/>
        <v>2028</v>
      </c>
      <c r="U52" s="106" t="str">
        <f t="shared" ca="1" si="13"/>
        <v>12</v>
      </c>
      <c r="V52" s="106" t="str">
        <f t="shared" ca="1" si="14"/>
        <v>07</v>
      </c>
      <c r="W52" s="220" t="str">
        <f t="shared" si="15"/>
        <v/>
      </c>
      <c r="Z52" s="106" t="str">
        <f t="shared" si="16"/>
        <v/>
      </c>
    </row>
    <row r="53" spans="2:26">
      <c r="B53" s="114">
        <v>30</v>
      </c>
      <c r="C53" s="115" t="str">
        <f t="shared" si="1"/>
        <v>-</v>
      </c>
      <c r="D53" s="115" t="str">
        <f t="shared" si="2"/>
        <v>-</v>
      </c>
      <c r="E53" s="116" t="str">
        <f t="shared" si="3"/>
        <v>-</v>
      </c>
      <c r="F53" s="116" t="str">
        <f t="shared" si="17"/>
        <v>-</v>
      </c>
      <c r="G53" s="117" t="str">
        <f t="shared" si="4"/>
        <v>-</v>
      </c>
      <c r="H53" s="118" t="str">
        <f t="shared" si="5"/>
        <v>-</v>
      </c>
      <c r="I53" s="118" t="str">
        <f t="shared" si="0"/>
        <v>-</v>
      </c>
      <c r="J53" s="118" t="str">
        <f t="shared" si="6"/>
        <v>-</v>
      </c>
      <c r="K53" s="118" t="str">
        <f t="shared" si="7"/>
        <v>-</v>
      </c>
      <c r="L53" s="119" t="str">
        <f t="shared" si="18"/>
        <v>-</v>
      </c>
      <c r="M53" s="122" t="str">
        <f>IF($C$16&gt;=B53,(IF(((P53-(J53+(I52*-1)+1))&lt;=0),1,((SUM(I$24:$I53)-(SUM($N$23:$N$25)))))),"-")</f>
        <v>-</v>
      </c>
      <c r="N53" s="121" t="str">
        <f>IF($C$16&gt;=B53,(IF((M53&lt;=0),1,((SUM($I$24:I53)-(SUM($N$23:N52)))))),"-")</f>
        <v>-</v>
      </c>
      <c r="O53" s="118" t="str">
        <f t="shared" si="8"/>
        <v>-</v>
      </c>
      <c r="P53" s="119" t="str">
        <f t="shared" si="9"/>
        <v>-</v>
      </c>
      <c r="Q53" s="191" t="str">
        <f t="shared" si="10"/>
        <v>-</v>
      </c>
      <c r="S53" s="192" t="str">
        <f t="shared" si="11"/>
        <v>-</v>
      </c>
      <c r="T53" s="190" t="str">
        <f t="shared" ca="1" si="12"/>
        <v>2029</v>
      </c>
      <c r="U53" s="106" t="str">
        <f t="shared" ca="1" si="13"/>
        <v>01</v>
      </c>
      <c r="V53" s="106" t="str">
        <f t="shared" ca="1" si="14"/>
        <v>07</v>
      </c>
      <c r="W53" s="220" t="str">
        <f t="shared" si="15"/>
        <v/>
      </c>
      <c r="Z53" s="106" t="str">
        <f t="shared" si="16"/>
        <v/>
      </c>
    </row>
    <row r="54" spans="2:26">
      <c r="B54" s="114">
        <v>31</v>
      </c>
      <c r="C54" s="115" t="str">
        <f t="shared" si="1"/>
        <v>-</v>
      </c>
      <c r="D54" s="115" t="str">
        <f t="shared" si="2"/>
        <v>-</v>
      </c>
      <c r="E54" s="116" t="str">
        <f t="shared" si="3"/>
        <v>-</v>
      </c>
      <c r="F54" s="116" t="str">
        <f t="shared" si="17"/>
        <v>-</v>
      </c>
      <c r="G54" s="117" t="str">
        <f t="shared" si="4"/>
        <v>-</v>
      </c>
      <c r="H54" s="118" t="str">
        <f t="shared" si="5"/>
        <v>-</v>
      </c>
      <c r="I54" s="118" t="str">
        <f t="shared" si="0"/>
        <v>-</v>
      </c>
      <c r="J54" s="118" t="str">
        <f t="shared" si="6"/>
        <v>-</v>
      </c>
      <c r="K54" s="118" t="str">
        <f t="shared" si="7"/>
        <v>-</v>
      </c>
      <c r="L54" s="119" t="str">
        <f t="shared" si="18"/>
        <v>-</v>
      </c>
      <c r="M54" s="122" t="str">
        <f>IF($C$16&gt;=B54,(IF(((P54-(J54+(I53*-1)+1))&lt;=0),1,((SUM(I$24:$I54)-(SUM($N$23:$N$25)))))),"-")</f>
        <v>-</v>
      </c>
      <c r="N54" s="121" t="str">
        <f>IF($C$16&gt;=B54,(IF((M54&lt;=0),1,((SUM($I$24:I54)-(SUM($N$23:N53)))))),"-")</f>
        <v>-</v>
      </c>
      <c r="O54" s="118" t="str">
        <f t="shared" si="8"/>
        <v>-</v>
      </c>
      <c r="P54" s="119" t="str">
        <f t="shared" si="9"/>
        <v>-</v>
      </c>
      <c r="Q54" s="191" t="str">
        <f t="shared" si="10"/>
        <v>-</v>
      </c>
      <c r="S54" s="192" t="str">
        <f t="shared" si="11"/>
        <v>-</v>
      </c>
      <c r="T54" s="190" t="str">
        <f t="shared" ca="1" si="12"/>
        <v>2029</v>
      </c>
      <c r="U54" s="106" t="str">
        <f t="shared" ca="1" si="13"/>
        <v>02</v>
      </c>
      <c r="V54" s="106" t="str">
        <f t="shared" ca="1" si="14"/>
        <v>07</v>
      </c>
      <c r="W54" s="220" t="str">
        <f t="shared" si="15"/>
        <v/>
      </c>
      <c r="Z54" s="106" t="str">
        <f t="shared" si="16"/>
        <v/>
      </c>
    </row>
    <row r="55" spans="2:26">
      <c r="B55" s="114">
        <v>32</v>
      </c>
      <c r="C55" s="115" t="str">
        <f t="shared" si="1"/>
        <v>-</v>
      </c>
      <c r="D55" s="115" t="str">
        <f t="shared" si="2"/>
        <v>-</v>
      </c>
      <c r="E55" s="116" t="str">
        <f t="shared" si="3"/>
        <v>-</v>
      </c>
      <c r="F55" s="116" t="str">
        <f t="shared" si="17"/>
        <v>-</v>
      </c>
      <c r="G55" s="117" t="str">
        <f t="shared" si="4"/>
        <v>-</v>
      </c>
      <c r="H55" s="118" t="str">
        <f t="shared" si="5"/>
        <v>-</v>
      </c>
      <c r="I55" s="118" t="str">
        <f t="shared" si="0"/>
        <v>-</v>
      </c>
      <c r="J55" s="118" t="str">
        <f t="shared" si="6"/>
        <v>-</v>
      </c>
      <c r="K55" s="118" t="str">
        <f t="shared" si="7"/>
        <v>-</v>
      </c>
      <c r="L55" s="119" t="str">
        <f t="shared" si="18"/>
        <v>-</v>
      </c>
      <c r="M55" s="122" t="str">
        <f>IF($C$16&gt;=B55,(IF(((P55-(J55+(I54*-1)+1))&lt;=0),1,((SUM(I$24:$I55)-(SUM($N$23:$N$25)))))),"-")</f>
        <v>-</v>
      </c>
      <c r="N55" s="121" t="str">
        <f>IF($C$16&gt;=B55,(IF((M55&lt;=0),1,((SUM($I$24:I55)-(SUM($N$23:N54)))))),"-")</f>
        <v>-</v>
      </c>
      <c r="O55" s="118" t="str">
        <f t="shared" si="8"/>
        <v>-</v>
      </c>
      <c r="P55" s="119" t="str">
        <f t="shared" si="9"/>
        <v>-</v>
      </c>
      <c r="Q55" s="191" t="str">
        <f t="shared" si="10"/>
        <v>-</v>
      </c>
      <c r="S55" s="192" t="str">
        <f t="shared" si="11"/>
        <v>-</v>
      </c>
      <c r="T55" s="190" t="str">
        <f t="shared" ca="1" si="12"/>
        <v>2029</v>
      </c>
      <c r="U55" s="106" t="str">
        <f t="shared" ca="1" si="13"/>
        <v>03</v>
      </c>
      <c r="V55" s="106" t="str">
        <f t="shared" ca="1" si="14"/>
        <v>07</v>
      </c>
      <c r="W55" s="220" t="str">
        <f t="shared" si="15"/>
        <v/>
      </c>
      <c r="Z55" s="106" t="str">
        <f t="shared" si="16"/>
        <v/>
      </c>
    </row>
    <row r="56" spans="2:26">
      <c r="B56" s="114">
        <v>33</v>
      </c>
      <c r="C56" s="115" t="str">
        <f t="shared" si="1"/>
        <v>-</v>
      </c>
      <c r="D56" s="115" t="str">
        <f t="shared" si="2"/>
        <v>-</v>
      </c>
      <c r="E56" s="116" t="str">
        <f t="shared" si="3"/>
        <v>-</v>
      </c>
      <c r="F56" s="116" t="str">
        <f t="shared" si="17"/>
        <v>-</v>
      </c>
      <c r="G56" s="117" t="str">
        <f t="shared" si="4"/>
        <v>-</v>
      </c>
      <c r="H56" s="118" t="str">
        <f t="shared" si="5"/>
        <v>-</v>
      </c>
      <c r="I56" s="118" t="str">
        <f t="shared" si="0"/>
        <v>-</v>
      </c>
      <c r="J56" s="118" t="str">
        <f t="shared" si="6"/>
        <v>-</v>
      </c>
      <c r="K56" s="118" t="str">
        <f t="shared" si="7"/>
        <v>-</v>
      </c>
      <c r="L56" s="119" t="str">
        <f t="shared" si="18"/>
        <v>-</v>
      </c>
      <c r="M56" s="122" t="str">
        <f>IF($C$16&gt;=B56,(IF(((P56-(J56+(I55*-1)+1))&lt;=0),1,((SUM(I$24:$I56)-(SUM($N$23:$N$25)))))),"-")</f>
        <v>-</v>
      </c>
      <c r="N56" s="121" t="str">
        <f>IF($C$16&gt;=B56,(IF((M56&lt;=0),1,((SUM($I$24:I56)-(SUM($N$23:N55)))))),"-")</f>
        <v>-</v>
      </c>
      <c r="O56" s="118" t="str">
        <f t="shared" si="8"/>
        <v>-</v>
      </c>
      <c r="P56" s="119" t="str">
        <f t="shared" si="9"/>
        <v>-</v>
      </c>
      <c r="Q56" s="191" t="str">
        <f t="shared" si="10"/>
        <v>-</v>
      </c>
      <c r="S56" s="192" t="str">
        <f t="shared" si="11"/>
        <v>-</v>
      </c>
      <c r="T56" s="190" t="str">
        <f t="shared" ca="1" si="12"/>
        <v>2029</v>
      </c>
      <c r="U56" s="106" t="str">
        <f t="shared" ca="1" si="13"/>
        <v>04</v>
      </c>
      <c r="V56" s="106" t="str">
        <f t="shared" ca="1" si="14"/>
        <v>07</v>
      </c>
      <c r="W56" s="220" t="str">
        <f t="shared" si="15"/>
        <v/>
      </c>
      <c r="Z56" s="106" t="str">
        <f t="shared" si="16"/>
        <v/>
      </c>
    </row>
    <row r="57" spans="2:26">
      <c r="B57" s="114">
        <v>34</v>
      </c>
      <c r="C57" s="115" t="str">
        <f t="shared" si="1"/>
        <v>-</v>
      </c>
      <c r="D57" s="115" t="str">
        <f t="shared" si="2"/>
        <v>-</v>
      </c>
      <c r="E57" s="116" t="str">
        <f t="shared" si="3"/>
        <v>-</v>
      </c>
      <c r="F57" s="116" t="str">
        <f t="shared" si="17"/>
        <v>-</v>
      </c>
      <c r="G57" s="117" t="str">
        <f t="shared" si="4"/>
        <v>-</v>
      </c>
      <c r="H57" s="118" t="str">
        <f t="shared" si="5"/>
        <v>-</v>
      </c>
      <c r="I57" s="118" t="str">
        <f t="shared" si="0"/>
        <v>-</v>
      </c>
      <c r="J57" s="118" t="str">
        <f t="shared" si="6"/>
        <v>-</v>
      </c>
      <c r="K57" s="118" t="str">
        <f t="shared" si="7"/>
        <v>-</v>
      </c>
      <c r="L57" s="119" t="str">
        <f t="shared" si="18"/>
        <v>-</v>
      </c>
      <c r="M57" s="122" t="str">
        <f>IF($C$16&gt;=B57,(IF(((P57-(J57+(I56*-1)+1))&lt;=0),1,((SUM(I$24:$I57)-(SUM($N$23:$N$25)))))),"-")</f>
        <v>-</v>
      </c>
      <c r="N57" s="121" t="str">
        <f>IF($C$16&gt;=B57,(IF((M57&lt;=0),1,((SUM($I$24:I57)-(SUM($N$23:N56)))))),"-")</f>
        <v>-</v>
      </c>
      <c r="O57" s="118" t="str">
        <f t="shared" si="8"/>
        <v>-</v>
      </c>
      <c r="P57" s="119" t="str">
        <f t="shared" si="9"/>
        <v>-</v>
      </c>
      <c r="Q57" s="191" t="str">
        <f t="shared" si="10"/>
        <v>-</v>
      </c>
      <c r="S57" s="192" t="str">
        <f t="shared" si="11"/>
        <v>-</v>
      </c>
      <c r="T57" s="190" t="str">
        <f t="shared" ca="1" si="12"/>
        <v>2029</v>
      </c>
      <c r="U57" s="106" t="str">
        <f t="shared" ca="1" si="13"/>
        <v>05</v>
      </c>
      <c r="V57" s="106" t="str">
        <f t="shared" ca="1" si="14"/>
        <v>07</v>
      </c>
      <c r="W57" s="220" t="str">
        <f t="shared" si="15"/>
        <v/>
      </c>
      <c r="Z57" s="106" t="str">
        <f t="shared" si="16"/>
        <v/>
      </c>
    </row>
    <row r="58" spans="2:26">
      <c r="B58" s="114">
        <v>35</v>
      </c>
      <c r="C58" s="115" t="str">
        <f t="shared" si="1"/>
        <v>-</v>
      </c>
      <c r="D58" s="115" t="str">
        <f t="shared" si="2"/>
        <v>-</v>
      </c>
      <c r="E58" s="116" t="str">
        <f t="shared" si="3"/>
        <v>-</v>
      </c>
      <c r="F58" s="116" t="str">
        <f t="shared" si="17"/>
        <v>-</v>
      </c>
      <c r="G58" s="117" t="str">
        <f t="shared" si="4"/>
        <v>-</v>
      </c>
      <c r="H58" s="118" t="str">
        <f t="shared" si="5"/>
        <v>-</v>
      </c>
      <c r="I58" s="118" t="str">
        <f t="shared" si="0"/>
        <v>-</v>
      </c>
      <c r="J58" s="118" t="str">
        <f t="shared" si="6"/>
        <v>-</v>
      </c>
      <c r="K58" s="118" t="str">
        <f t="shared" si="7"/>
        <v>-</v>
      </c>
      <c r="L58" s="119" t="str">
        <f t="shared" si="18"/>
        <v>-</v>
      </c>
      <c r="M58" s="122" t="str">
        <f>IF($C$16&gt;=B58,(IF(((P58-(J58+(I57*-1)+1))&lt;=0),1,((SUM(I$24:$I58)-(SUM($N$23:$N$25)))))),"-")</f>
        <v>-</v>
      </c>
      <c r="N58" s="121" t="str">
        <f>IF($C$16&gt;=B58,(IF((M58&lt;=0),1,((SUM($I$24:I58)-(SUM($N$23:N57)))))),"-")</f>
        <v>-</v>
      </c>
      <c r="O58" s="118" t="str">
        <f t="shared" si="8"/>
        <v>-</v>
      </c>
      <c r="P58" s="119" t="str">
        <f t="shared" si="9"/>
        <v>-</v>
      </c>
      <c r="Q58" s="191" t="str">
        <f t="shared" si="10"/>
        <v>-</v>
      </c>
      <c r="S58" s="192" t="str">
        <f t="shared" si="11"/>
        <v>-</v>
      </c>
      <c r="T58" s="190" t="str">
        <f t="shared" ca="1" si="12"/>
        <v>2029</v>
      </c>
      <c r="U58" s="106" t="str">
        <f t="shared" ca="1" si="13"/>
        <v>06</v>
      </c>
      <c r="V58" s="106" t="str">
        <f t="shared" ca="1" si="14"/>
        <v>07</v>
      </c>
      <c r="W58" s="220" t="str">
        <f t="shared" si="15"/>
        <v/>
      </c>
      <c r="Z58" s="106" t="str">
        <f t="shared" si="16"/>
        <v/>
      </c>
    </row>
    <row r="59" spans="2:26">
      <c r="B59" s="123">
        <v>36</v>
      </c>
      <c r="C59" s="115" t="str">
        <f t="shared" si="1"/>
        <v>-</v>
      </c>
      <c r="D59" s="115" t="str">
        <f t="shared" si="2"/>
        <v>-</v>
      </c>
      <c r="E59" s="124" t="str">
        <f t="shared" si="3"/>
        <v>-</v>
      </c>
      <c r="F59" s="116" t="str">
        <f t="shared" si="17"/>
        <v>-</v>
      </c>
      <c r="G59" s="117" t="str">
        <f t="shared" si="4"/>
        <v>-</v>
      </c>
      <c r="H59" s="125" t="str">
        <f t="shared" si="5"/>
        <v>-</v>
      </c>
      <c r="I59" s="125" t="str">
        <f t="shared" si="0"/>
        <v>-</v>
      </c>
      <c r="J59" s="118" t="str">
        <f t="shared" si="6"/>
        <v>-</v>
      </c>
      <c r="K59" s="125" t="str">
        <f t="shared" si="7"/>
        <v>-</v>
      </c>
      <c r="L59" s="126" t="str">
        <f t="shared" si="18"/>
        <v>-</v>
      </c>
      <c r="M59" s="122" t="str">
        <f>IF($C$16&gt;=B59,(IF(((P59-(J59+(I58*-1)+1))&lt;=0),1,((SUM(I$24:$I59)-(SUM($N$23:$N$25)))))),"-")</f>
        <v>-</v>
      </c>
      <c r="N59" s="121" t="str">
        <f>IF($C$16&gt;=B59,(IF((M59&lt;=0),1,((SUM($I$24:I59)-(SUM($N$23:N58)))))),"-")</f>
        <v>-</v>
      </c>
      <c r="O59" s="118" t="str">
        <f t="shared" si="8"/>
        <v>-</v>
      </c>
      <c r="P59" s="119" t="str">
        <f t="shared" si="9"/>
        <v>-</v>
      </c>
      <c r="Q59" s="191" t="str">
        <f t="shared" si="10"/>
        <v>-</v>
      </c>
      <c r="S59" s="192" t="str">
        <f t="shared" si="11"/>
        <v>-</v>
      </c>
      <c r="T59" s="190" t="str">
        <f t="shared" ca="1" si="12"/>
        <v>2029</v>
      </c>
      <c r="U59" s="106" t="str">
        <f t="shared" ca="1" si="13"/>
        <v>07</v>
      </c>
      <c r="V59" s="106" t="str">
        <f t="shared" ca="1" si="14"/>
        <v>07</v>
      </c>
      <c r="W59" s="220" t="str">
        <f t="shared" si="15"/>
        <v/>
      </c>
      <c r="Z59" s="106" t="str">
        <f t="shared" si="16"/>
        <v/>
      </c>
    </row>
    <row r="60" spans="2:26">
      <c r="B60" s="123">
        <v>37</v>
      </c>
      <c r="C60" s="115" t="str">
        <f t="shared" si="1"/>
        <v>-</v>
      </c>
      <c r="D60" s="115" t="str">
        <f t="shared" si="2"/>
        <v>-</v>
      </c>
      <c r="E60" s="124" t="str">
        <f t="shared" si="3"/>
        <v>-</v>
      </c>
      <c r="F60" s="116" t="str">
        <f t="shared" si="17"/>
        <v>-</v>
      </c>
      <c r="G60" s="117" t="str">
        <f t="shared" si="4"/>
        <v>-</v>
      </c>
      <c r="H60" s="125" t="str">
        <f t="shared" si="5"/>
        <v>-</v>
      </c>
      <c r="I60" s="125" t="str">
        <f t="shared" si="0"/>
        <v>-</v>
      </c>
      <c r="J60" s="118" t="str">
        <f t="shared" si="6"/>
        <v>-</v>
      </c>
      <c r="K60" s="125" t="str">
        <f t="shared" si="7"/>
        <v>-</v>
      </c>
      <c r="L60" s="126" t="str">
        <f t="shared" si="18"/>
        <v>-</v>
      </c>
      <c r="M60" s="122" t="str">
        <f>IF($C$16&gt;=B60,(IF(((P60-(J60+(I59*-1)+1))&lt;=0),1,((SUM(I$24:$I60)-(SUM($N$23:$N$25)))))),"-")</f>
        <v>-</v>
      </c>
      <c r="N60" s="121" t="str">
        <f>IF($C$16&gt;=B60,(IF((M60&lt;=0),1,((SUM($I$24:I60)-(SUM($N$23:N59)))))),"-")</f>
        <v>-</v>
      </c>
      <c r="O60" s="118" t="str">
        <f t="shared" si="8"/>
        <v>-</v>
      </c>
      <c r="P60" s="119" t="str">
        <f t="shared" si="9"/>
        <v>-</v>
      </c>
      <c r="Q60" s="191" t="str">
        <f t="shared" si="10"/>
        <v>-</v>
      </c>
      <c r="S60" s="192" t="str">
        <f t="shared" si="11"/>
        <v>-</v>
      </c>
      <c r="T60" s="190" t="str">
        <f t="shared" ca="1" si="12"/>
        <v>2029</v>
      </c>
      <c r="U60" s="106" t="str">
        <f t="shared" ca="1" si="13"/>
        <v>08</v>
      </c>
      <c r="V60" s="106" t="str">
        <f t="shared" ca="1" si="14"/>
        <v>07</v>
      </c>
      <c r="W60" s="220" t="str">
        <f t="shared" si="15"/>
        <v/>
      </c>
      <c r="Z60" s="106" t="str">
        <f t="shared" si="16"/>
        <v/>
      </c>
    </row>
    <row r="61" spans="2:26">
      <c r="B61" s="123">
        <v>38</v>
      </c>
      <c r="C61" s="115" t="str">
        <f t="shared" si="1"/>
        <v>-</v>
      </c>
      <c r="D61" s="115" t="str">
        <f t="shared" si="2"/>
        <v>-</v>
      </c>
      <c r="E61" s="124" t="str">
        <f t="shared" si="3"/>
        <v>-</v>
      </c>
      <c r="F61" s="116" t="str">
        <f t="shared" si="17"/>
        <v>-</v>
      </c>
      <c r="G61" s="117" t="str">
        <f t="shared" si="4"/>
        <v>-</v>
      </c>
      <c r="H61" s="125" t="str">
        <f t="shared" si="5"/>
        <v>-</v>
      </c>
      <c r="I61" s="125" t="str">
        <f t="shared" si="0"/>
        <v>-</v>
      </c>
      <c r="J61" s="118" t="str">
        <f t="shared" si="6"/>
        <v>-</v>
      </c>
      <c r="K61" s="125" t="str">
        <f t="shared" si="7"/>
        <v>-</v>
      </c>
      <c r="L61" s="126" t="str">
        <f t="shared" si="18"/>
        <v>-</v>
      </c>
      <c r="M61" s="122" t="str">
        <f>IF($C$16&gt;=B61,(IF(((P61-(J61+(I60*-1)+1))&lt;=0),1,((SUM(I$24:$I61)-(SUM($N$23:$N$25)))))),"-")</f>
        <v>-</v>
      </c>
      <c r="N61" s="121" t="str">
        <f>IF($C$16&gt;=B61,(IF((M61&lt;=0),1,((SUM($I$24:I61)-(SUM($N$23:N60)))))),"-")</f>
        <v>-</v>
      </c>
      <c r="O61" s="118" t="str">
        <f t="shared" si="8"/>
        <v>-</v>
      </c>
      <c r="P61" s="119" t="str">
        <f t="shared" si="9"/>
        <v>-</v>
      </c>
      <c r="Q61" s="191" t="str">
        <f t="shared" si="10"/>
        <v>-</v>
      </c>
      <c r="S61" s="192" t="str">
        <f t="shared" si="11"/>
        <v>-</v>
      </c>
      <c r="T61" s="190" t="str">
        <f t="shared" ca="1" si="12"/>
        <v>2029</v>
      </c>
      <c r="U61" s="106" t="str">
        <f t="shared" ca="1" si="13"/>
        <v>09</v>
      </c>
      <c r="V61" s="106" t="str">
        <f t="shared" ca="1" si="14"/>
        <v>07</v>
      </c>
      <c r="W61" s="220" t="str">
        <f t="shared" si="15"/>
        <v/>
      </c>
      <c r="Z61" s="106" t="str">
        <f t="shared" si="16"/>
        <v/>
      </c>
    </row>
    <row r="62" spans="2:26">
      <c r="B62" s="123">
        <v>39</v>
      </c>
      <c r="C62" s="115" t="str">
        <f t="shared" si="1"/>
        <v>-</v>
      </c>
      <c r="D62" s="115" t="str">
        <f t="shared" si="2"/>
        <v>-</v>
      </c>
      <c r="E62" s="124" t="str">
        <f t="shared" si="3"/>
        <v>-</v>
      </c>
      <c r="F62" s="116" t="str">
        <f t="shared" si="17"/>
        <v>-</v>
      </c>
      <c r="G62" s="117" t="str">
        <f t="shared" si="4"/>
        <v>-</v>
      </c>
      <c r="H62" s="125" t="str">
        <f t="shared" si="5"/>
        <v>-</v>
      </c>
      <c r="I62" s="125" t="str">
        <f t="shared" si="0"/>
        <v>-</v>
      </c>
      <c r="J62" s="118" t="str">
        <f t="shared" si="6"/>
        <v>-</v>
      </c>
      <c r="K62" s="125" t="str">
        <f t="shared" si="7"/>
        <v>-</v>
      </c>
      <c r="L62" s="126" t="str">
        <f t="shared" si="18"/>
        <v>-</v>
      </c>
      <c r="M62" s="122" t="str">
        <f>IF($C$16&gt;=B62,(IF(((P62-(J62+(I61*-1)+1))&lt;=0),1,((SUM(I$24:$I62)-(SUM($N$23:$N$25)))))),"-")</f>
        <v>-</v>
      </c>
      <c r="N62" s="121" t="str">
        <f>IF($C$16&gt;=B62,(IF((M62&lt;=0),1,((SUM($I$24:I62)-(SUM($N$23:N61)))))),"-")</f>
        <v>-</v>
      </c>
      <c r="O62" s="118" t="str">
        <f t="shared" si="8"/>
        <v>-</v>
      </c>
      <c r="P62" s="119" t="str">
        <f t="shared" si="9"/>
        <v>-</v>
      </c>
      <c r="Q62" s="191" t="str">
        <f t="shared" si="10"/>
        <v>-</v>
      </c>
      <c r="S62" s="192" t="str">
        <f t="shared" si="11"/>
        <v>-</v>
      </c>
      <c r="T62" s="190" t="str">
        <f t="shared" ca="1" si="12"/>
        <v>2029</v>
      </c>
      <c r="U62" s="106" t="str">
        <f t="shared" ca="1" si="13"/>
        <v>10</v>
      </c>
      <c r="V62" s="106" t="str">
        <f t="shared" ca="1" si="14"/>
        <v>07</v>
      </c>
      <c r="W62" s="220" t="str">
        <f t="shared" si="15"/>
        <v/>
      </c>
      <c r="Z62" s="106" t="str">
        <f t="shared" si="16"/>
        <v/>
      </c>
    </row>
    <row r="63" spans="2:26">
      <c r="B63" s="123">
        <v>40</v>
      </c>
      <c r="C63" s="115" t="str">
        <f t="shared" si="1"/>
        <v>-</v>
      </c>
      <c r="D63" s="115" t="str">
        <f t="shared" si="2"/>
        <v>-</v>
      </c>
      <c r="E63" s="124" t="str">
        <f t="shared" si="3"/>
        <v>-</v>
      </c>
      <c r="F63" s="116" t="str">
        <f t="shared" si="17"/>
        <v>-</v>
      </c>
      <c r="G63" s="117" t="str">
        <f t="shared" si="4"/>
        <v>-</v>
      </c>
      <c r="H63" s="125" t="str">
        <f t="shared" si="5"/>
        <v>-</v>
      </c>
      <c r="I63" s="125" t="str">
        <f t="shared" si="0"/>
        <v>-</v>
      </c>
      <c r="J63" s="118" t="str">
        <f t="shared" si="6"/>
        <v>-</v>
      </c>
      <c r="K63" s="125" t="str">
        <f t="shared" si="7"/>
        <v>-</v>
      </c>
      <c r="L63" s="126" t="str">
        <f t="shared" si="18"/>
        <v>-</v>
      </c>
      <c r="M63" s="122" t="str">
        <f>IF($C$16&gt;=B63,(IF(((P63-(J63+(I62*-1)+1))&lt;=0),1,((SUM(I$24:$I63)-(SUM($N$23:$N$25)))))),"-")</f>
        <v>-</v>
      </c>
      <c r="N63" s="121" t="str">
        <f>IF($C$16&gt;=B63,(IF((M63&lt;=0),1,((SUM($I$24:I63)-(SUM($N$23:N62)))))),"-")</f>
        <v>-</v>
      </c>
      <c r="O63" s="118" t="str">
        <f t="shared" si="8"/>
        <v>-</v>
      </c>
      <c r="P63" s="119" t="str">
        <f t="shared" si="9"/>
        <v>-</v>
      </c>
      <c r="Q63" s="191" t="str">
        <f t="shared" si="10"/>
        <v>-</v>
      </c>
      <c r="S63" s="192" t="str">
        <f t="shared" si="11"/>
        <v>-</v>
      </c>
      <c r="T63" s="190" t="str">
        <f t="shared" ca="1" si="12"/>
        <v>2029</v>
      </c>
      <c r="U63" s="106" t="str">
        <f t="shared" ca="1" si="13"/>
        <v>11</v>
      </c>
      <c r="V63" s="106" t="str">
        <f t="shared" ca="1" si="14"/>
        <v>07</v>
      </c>
      <c r="W63" s="220" t="str">
        <f t="shared" si="15"/>
        <v/>
      </c>
      <c r="Z63" s="106" t="str">
        <f t="shared" si="16"/>
        <v/>
      </c>
    </row>
    <row r="64" spans="2:26">
      <c r="B64" s="123">
        <v>41</v>
      </c>
      <c r="C64" s="115" t="str">
        <f t="shared" si="1"/>
        <v>-</v>
      </c>
      <c r="D64" s="115" t="str">
        <f t="shared" si="2"/>
        <v>-</v>
      </c>
      <c r="E64" s="124" t="str">
        <f t="shared" si="3"/>
        <v>-</v>
      </c>
      <c r="F64" s="116" t="str">
        <f t="shared" si="17"/>
        <v>-</v>
      </c>
      <c r="G64" s="117" t="str">
        <f t="shared" si="4"/>
        <v>-</v>
      </c>
      <c r="H64" s="125" t="str">
        <f t="shared" si="5"/>
        <v>-</v>
      </c>
      <c r="I64" s="125" t="str">
        <f t="shared" si="0"/>
        <v>-</v>
      </c>
      <c r="J64" s="118" t="str">
        <f t="shared" si="6"/>
        <v>-</v>
      </c>
      <c r="K64" s="125" t="str">
        <f t="shared" si="7"/>
        <v>-</v>
      </c>
      <c r="L64" s="126" t="str">
        <f t="shared" si="18"/>
        <v>-</v>
      </c>
      <c r="M64" s="122" t="str">
        <f>IF($C$16&gt;=B64,(IF(((P64-(J64+(I63*-1)+1))&lt;=0),1,((SUM(I$24:$I64)-(SUM($N$23:$N$25)))))),"-")</f>
        <v>-</v>
      </c>
      <c r="N64" s="121" t="str">
        <f>IF($C$16&gt;=B64,(IF((M64&lt;=0),1,((SUM($I$24:I64)-(SUM($N$23:N63)))))),"-")</f>
        <v>-</v>
      </c>
      <c r="O64" s="118" t="str">
        <f t="shared" si="8"/>
        <v>-</v>
      </c>
      <c r="P64" s="119" t="str">
        <f t="shared" si="9"/>
        <v>-</v>
      </c>
      <c r="Q64" s="191" t="str">
        <f t="shared" si="10"/>
        <v>-</v>
      </c>
      <c r="S64" s="192" t="str">
        <f t="shared" si="11"/>
        <v>-</v>
      </c>
      <c r="T64" s="190" t="str">
        <f t="shared" ca="1" si="12"/>
        <v>2029</v>
      </c>
      <c r="U64" s="106" t="str">
        <f t="shared" ca="1" si="13"/>
        <v>12</v>
      </c>
      <c r="V64" s="106" t="str">
        <f t="shared" ca="1" si="14"/>
        <v>07</v>
      </c>
      <c r="W64" s="220" t="str">
        <f t="shared" si="15"/>
        <v/>
      </c>
      <c r="Z64" s="106" t="str">
        <f t="shared" si="16"/>
        <v/>
      </c>
    </row>
    <row r="65" spans="2:26">
      <c r="B65" s="123">
        <v>42</v>
      </c>
      <c r="C65" s="115" t="str">
        <f t="shared" si="1"/>
        <v>-</v>
      </c>
      <c r="D65" s="115" t="str">
        <f t="shared" si="2"/>
        <v>-</v>
      </c>
      <c r="E65" s="124" t="str">
        <f t="shared" si="3"/>
        <v>-</v>
      </c>
      <c r="F65" s="116" t="str">
        <f t="shared" si="17"/>
        <v>-</v>
      </c>
      <c r="G65" s="117" t="str">
        <f t="shared" si="4"/>
        <v>-</v>
      </c>
      <c r="H65" s="125" t="str">
        <f t="shared" si="5"/>
        <v>-</v>
      </c>
      <c r="I65" s="125" t="str">
        <f t="shared" si="0"/>
        <v>-</v>
      </c>
      <c r="J65" s="118" t="str">
        <f t="shared" si="6"/>
        <v>-</v>
      </c>
      <c r="K65" s="125" t="str">
        <f t="shared" si="7"/>
        <v>-</v>
      </c>
      <c r="L65" s="126" t="str">
        <f t="shared" si="18"/>
        <v>-</v>
      </c>
      <c r="M65" s="122" t="str">
        <f>IF($C$16&gt;=B65,(IF(((P65-(J65+(I64*-1)+1))&lt;=0),1,((SUM(I$24:$I65)-(SUM($N$23:$N$25)))))),"-")</f>
        <v>-</v>
      </c>
      <c r="N65" s="121" t="str">
        <f>IF($C$16&gt;=B65,(IF((M65&lt;=0),1,((SUM($I$24:I65)-(SUM($N$23:N64)))))),"-")</f>
        <v>-</v>
      </c>
      <c r="O65" s="118" t="str">
        <f t="shared" si="8"/>
        <v>-</v>
      </c>
      <c r="P65" s="119" t="str">
        <f t="shared" si="9"/>
        <v>-</v>
      </c>
      <c r="Q65" s="191" t="str">
        <f t="shared" si="10"/>
        <v>-</v>
      </c>
      <c r="S65" s="192" t="str">
        <f t="shared" si="11"/>
        <v>-</v>
      </c>
      <c r="T65" s="190" t="str">
        <f t="shared" ca="1" si="12"/>
        <v>2030</v>
      </c>
      <c r="U65" s="106" t="str">
        <f t="shared" ca="1" si="13"/>
        <v>01</v>
      </c>
      <c r="V65" s="106" t="str">
        <f t="shared" ca="1" si="14"/>
        <v>07</v>
      </c>
      <c r="W65" s="220" t="str">
        <f t="shared" si="15"/>
        <v/>
      </c>
      <c r="Z65" s="106" t="str">
        <f t="shared" si="16"/>
        <v/>
      </c>
    </row>
    <row r="66" spans="2:26">
      <c r="B66" s="123">
        <v>43</v>
      </c>
      <c r="C66" s="115" t="str">
        <f t="shared" si="1"/>
        <v>-</v>
      </c>
      <c r="D66" s="115" t="str">
        <f t="shared" si="2"/>
        <v>-</v>
      </c>
      <c r="E66" s="124" t="str">
        <f t="shared" si="3"/>
        <v>-</v>
      </c>
      <c r="F66" s="116" t="str">
        <f t="shared" si="17"/>
        <v>-</v>
      </c>
      <c r="G66" s="117" t="str">
        <f t="shared" si="4"/>
        <v>-</v>
      </c>
      <c r="H66" s="125" t="str">
        <f t="shared" si="5"/>
        <v>-</v>
      </c>
      <c r="I66" s="125" t="str">
        <f t="shared" si="0"/>
        <v>-</v>
      </c>
      <c r="J66" s="118" t="str">
        <f t="shared" si="6"/>
        <v>-</v>
      </c>
      <c r="K66" s="125" t="str">
        <f t="shared" si="7"/>
        <v>-</v>
      </c>
      <c r="L66" s="126" t="str">
        <f t="shared" si="18"/>
        <v>-</v>
      </c>
      <c r="M66" s="122" t="str">
        <f>IF($C$16&gt;=B66,(IF(((P66-(J66+(I65*-1)+1))&lt;=0),1,((SUM(I$24:$I66)-(SUM($N$23:$N$25)))))),"-")</f>
        <v>-</v>
      </c>
      <c r="N66" s="121" t="str">
        <f>IF($C$16&gt;=B66,(IF((M66&lt;=0),1,((SUM($I$24:I66)-(SUM($N$23:N65)))))),"-")</f>
        <v>-</v>
      </c>
      <c r="O66" s="118" t="str">
        <f t="shared" si="8"/>
        <v>-</v>
      </c>
      <c r="P66" s="119" t="str">
        <f t="shared" si="9"/>
        <v>-</v>
      </c>
      <c r="Q66" s="191" t="str">
        <f t="shared" si="10"/>
        <v>-</v>
      </c>
      <c r="S66" s="192" t="str">
        <f t="shared" si="11"/>
        <v>-</v>
      </c>
      <c r="T66" s="190" t="str">
        <f t="shared" ca="1" si="12"/>
        <v>2030</v>
      </c>
      <c r="U66" s="106" t="str">
        <f t="shared" ca="1" si="13"/>
        <v>02</v>
      </c>
      <c r="V66" s="106" t="str">
        <f t="shared" ca="1" si="14"/>
        <v>07</v>
      </c>
      <c r="W66" s="220" t="str">
        <f t="shared" si="15"/>
        <v/>
      </c>
      <c r="Z66" s="106" t="str">
        <f t="shared" si="16"/>
        <v/>
      </c>
    </row>
    <row r="67" spans="2:26">
      <c r="B67" s="123">
        <v>44</v>
      </c>
      <c r="C67" s="115" t="str">
        <f t="shared" si="1"/>
        <v>-</v>
      </c>
      <c r="D67" s="115" t="str">
        <f t="shared" si="2"/>
        <v>-</v>
      </c>
      <c r="E67" s="124" t="str">
        <f t="shared" si="3"/>
        <v>-</v>
      </c>
      <c r="F67" s="116" t="str">
        <f t="shared" si="17"/>
        <v>-</v>
      </c>
      <c r="G67" s="117" t="str">
        <f t="shared" si="4"/>
        <v>-</v>
      </c>
      <c r="H67" s="125" t="str">
        <f t="shared" si="5"/>
        <v>-</v>
      </c>
      <c r="I67" s="125" t="str">
        <f t="shared" si="0"/>
        <v>-</v>
      </c>
      <c r="J67" s="118" t="str">
        <f t="shared" si="6"/>
        <v>-</v>
      </c>
      <c r="K67" s="125" t="str">
        <f t="shared" si="7"/>
        <v>-</v>
      </c>
      <c r="L67" s="126" t="str">
        <f t="shared" si="18"/>
        <v>-</v>
      </c>
      <c r="M67" s="122" t="str">
        <f>IF($C$16&gt;=B67,(IF(((P67-(J67+(I66*-1)+1))&lt;=0),1,((SUM(I$24:$I67)-(SUM($N$23:$N$25)))))),"-")</f>
        <v>-</v>
      </c>
      <c r="N67" s="121" t="str">
        <f>IF($C$16&gt;=B67,(IF((M67&lt;=0),1,((SUM($I$24:I67)-(SUM($N$23:N66)))))),"-")</f>
        <v>-</v>
      </c>
      <c r="O67" s="118" t="str">
        <f t="shared" si="8"/>
        <v>-</v>
      </c>
      <c r="P67" s="119" t="str">
        <f t="shared" si="9"/>
        <v>-</v>
      </c>
      <c r="Q67" s="191" t="str">
        <f t="shared" si="10"/>
        <v>-</v>
      </c>
      <c r="S67" s="192" t="str">
        <f t="shared" si="11"/>
        <v>-</v>
      </c>
      <c r="T67" s="190" t="str">
        <f t="shared" ca="1" si="12"/>
        <v>2030</v>
      </c>
      <c r="U67" s="106" t="str">
        <f t="shared" ca="1" si="13"/>
        <v>03</v>
      </c>
      <c r="V67" s="106" t="str">
        <f t="shared" ca="1" si="14"/>
        <v>07</v>
      </c>
      <c r="W67" s="220" t="str">
        <f t="shared" si="15"/>
        <v/>
      </c>
      <c r="Z67" s="106" t="str">
        <f t="shared" si="16"/>
        <v/>
      </c>
    </row>
    <row r="68" spans="2:26">
      <c r="B68" s="123">
        <v>45</v>
      </c>
      <c r="C68" s="115" t="str">
        <f t="shared" si="1"/>
        <v>-</v>
      </c>
      <c r="D68" s="115" t="str">
        <f t="shared" si="2"/>
        <v>-</v>
      </c>
      <c r="E68" s="124" t="str">
        <f t="shared" si="3"/>
        <v>-</v>
      </c>
      <c r="F68" s="116" t="str">
        <f t="shared" si="17"/>
        <v>-</v>
      </c>
      <c r="G68" s="117" t="str">
        <f t="shared" si="4"/>
        <v>-</v>
      </c>
      <c r="H68" s="125" t="str">
        <f t="shared" si="5"/>
        <v>-</v>
      </c>
      <c r="I68" s="125" t="str">
        <f t="shared" si="0"/>
        <v>-</v>
      </c>
      <c r="J68" s="118" t="str">
        <f t="shared" si="6"/>
        <v>-</v>
      </c>
      <c r="K68" s="125" t="str">
        <f t="shared" si="7"/>
        <v>-</v>
      </c>
      <c r="L68" s="126" t="str">
        <f t="shared" si="18"/>
        <v>-</v>
      </c>
      <c r="M68" s="122" t="str">
        <f>IF($C$16&gt;=B68,(IF(((P68-(J68+(I67*-1)+1))&lt;=0),1,((SUM(I$24:$I68)-(SUM($N$23:$N$25)))))),"-")</f>
        <v>-</v>
      </c>
      <c r="N68" s="121" t="str">
        <f>IF($C$16&gt;=B68,(IF((M68&lt;=0),1,((SUM($I$24:I68)-(SUM($N$23:N67)))))),"-")</f>
        <v>-</v>
      </c>
      <c r="O68" s="118" t="str">
        <f t="shared" si="8"/>
        <v>-</v>
      </c>
      <c r="P68" s="119" t="str">
        <f t="shared" si="9"/>
        <v>-</v>
      </c>
      <c r="Q68" s="191" t="str">
        <f t="shared" si="10"/>
        <v>-</v>
      </c>
      <c r="S68" s="192" t="str">
        <f t="shared" si="11"/>
        <v>-</v>
      </c>
      <c r="T68" s="190" t="str">
        <f t="shared" ca="1" si="12"/>
        <v>2030</v>
      </c>
      <c r="U68" s="106" t="str">
        <f t="shared" ca="1" si="13"/>
        <v>04</v>
      </c>
      <c r="V68" s="106" t="str">
        <f t="shared" ca="1" si="14"/>
        <v>07</v>
      </c>
      <c r="W68" s="220" t="str">
        <f t="shared" si="15"/>
        <v/>
      </c>
      <c r="Z68" s="106" t="str">
        <f t="shared" si="16"/>
        <v/>
      </c>
    </row>
    <row r="69" spans="2:26">
      <c r="B69" s="123">
        <v>46</v>
      </c>
      <c r="C69" s="115" t="str">
        <f t="shared" si="1"/>
        <v>-</v>
      </c>
      <c r="D69" s="115" t="str">
        <f t="shared" si="2"/>
        <v>-</v>
      </c>
      <c r="E69" s="124" t="str">
        <f t="shared" si="3"/>
        <v>-</v>
      </c>
      <c r="F69" s="116" t="str">
        <f t="shared" si="17"/>
        <v>-</v>
      </c>
      <c r="G69" s="117" t="str">
        <f t="shared" si="4"/>
        <v>-</v>
      </c>
      <c r="H69" s="125" t="str">
        <f t="shared" si="5"/>
        <v>-</v>
      </c>
      <c r="I69" s="125" t="str">
        <f t="shared" si="0"/>
        <v>-</v>
      </c>
      <c r="J69" s="118" t="str">
        <f t="shared" si="6"/>
        <v>-</v>
      </c>
      <c r="K69" s="125" t="str">
        <f t="shared" si="7"/>
        <v>-</v>
      </c>
      <c r="L69" s="126" t="str">
        <f t="shared" si="18"/>
        <v>-</v>
      </c>
      <c r="M69" s="122" t="str">
        <f>IF($C$16&gt;=B69,(IF(((P69-(J69+(I68*-1)+1))&lt;=0),1,((SUM(I$24:$I69)-(SUM($N$23:$N$25)))))),"-")</f>
        <v>-</v>
      </c>
      <c r="N69" s="121" t="str">
        <f>IF($C$16&gt;=B69,(IF((M69&lt;=0),1,((SUM($I$24:I69)-(SUM($N$23:N68)))))),"-")</f>
        <v>-</v>
      </c>
      <c r="O69" s="118" t="str">
        <f t="shared" si="8"/>
        <v>-</v>
      </c>
      <c r="P69" s="119" t="str">
        <f t="shared" si="9"/>
        <v>-</v>
      </c>
      <c r="Q69" s="191" t="str">
        <f t="shared" si="10"/>
        <v>-</v>
      </c>
      <c r="S69" s="192" t="str">
        <f t="shared" si="11"/>
        <v>-</v>
      </c>
      <c r="T69" s="190" t="str">
        <f t="shared" ca="1" si="12"/>
        <v>2030</v>
      </c>
      <c r="U69" s="106" t="str">
        <f t="shared" ca="1" si="13"/>
        <v>05</v>
      </c>
      <c r="V69" s="106" t="str">
        <f t="shared" ca="1" si="14"/>
        <v>07</v>
      </c>
      <c r="W69" s="220" t="str">
        <f t="shared" si="15"/>
        <v/>
      </c>
      <c r="Z69" s="106" t="str">
        <f t="shared" si="16"/>
        <v/>
      </c>
    </row>
    <row r="70" spans="2:26">
      <c r="B70" s="123">
        <v>47</v>
      </c>
      <c r="C70" s="115" t="str">
        <f t="shared" si="1"/>
        <v>-</v>
      </c>
      <c r="D70" s="115" t="str">
        <f t="shared" si="2"/>
        <v>-</v>
      </c>
      <c r="E70" s="124" t="str">
        <f t="shared" si="3"/>
        <v>-</v>
      </c>
      <c r="F70" s="116" t="str">
        <f t="shared" si="17"/>
        <v>-</v>
      </c>
      <c r="G70" s="117" t="str">
        <f t="shared" si="4"/>
        <v>-</v>
      </c>
      <c r="H70" s="125" t="str">
        <f t="shared" si="5"/>
        <v>-</v>
      </c>
      <c r="I70" s="125" t="str">
        <f t="shared" si="0"/>
        <v>-</v>
      </c>
      <c r="J70" s="118" t="str">
        <f t="shared" si="6"/>
        <v>-</v>
      </c>
      <c r="K70" s="125" t="str">
        <f t="shared" si="7"/>
        <v>-</v>
      </c>
      <c r="L70" s="126" t="str">
        <f t="shared" si="18"/>
        <v>-</v>
      </c>
      <c r="M70" s="122" t="str">
        <f>IF($C$16&gt;=B70,(IF(((P70-(J70+(I69*-1)+1))&lt;=0),1,((SUM(I$24:$I70)-(SUM($N$23:$N$25)))))),"-")</f>
        <v>-</v>
      </c>
      <c r="N70" s="121" t="str">
        <f>IF($C$16&gt;=B70,(IF((M70&lt;=0),1,((SUM($I$24:I70)-(SUM($N$23:N69)))))),"-")</f>
        <v>-</v>
      </c>
      <c r="O70" s="118" t="str">
        <f t="shared" si="8"/>
        <v>-</v>
      </c>
      <c r="P70" s="119" t="str">
        <f t="shared" si="9"/>
        <v>-</v>
      </c>
      <c r="Q70" s="191" t="str">
        <f t="shared" si="10"/>
        <v>-</v>
      </c>
      <c r="S70" s="192" t="str">
        <f t="shared" si="11"/>
        <v>-</v>
      </c>
      <c r="T70" s="190" t="str">
        <f t="shared" ca="1" si="12"/>
        <v>2030</v>
      </c>
      <c r="U70" s="106" t="str">
        <f t="shared" ca="1" si="13"/>
        <v>06</v>
      </c>
      <c r="V70" s="106" t="str">
        <f t="shared" ca="1" si="14"/>
        <v>07</v>
      </c>
      <c r="W70" s="220" t="str">
        <f t="shared" si="15"/>
        <v/>
      </c>
      <c r="Z70" s="106" t="str">
        <f t="shared" si="16"/>
        <v/>
      </c>
    </row>
    <row r="71" spans="2:26">
      <c r="B71" s="123">
        <v>48</v>
      </c>
      <c r="C71" s="115" t="str">
        <f t="shared" si="1"/>
        <v>-</v>
      </c>
      <c r="D71" s="115" t="str">
        <f t="shared" si="2"/>
        <v>-</v>
      </c>
      <c r="E71" s="124" t="str">
        <f t="shared" si="3"/>
        <v>-</v>
      </c>
      <c r="F71" s="116" t="str">
        <f t="shared" si="17"/>
        <v>-</v>
      </c>
      <c r="G71" s="117" t="str">
        <f t="shared" si="4"/>
        <v>-</v>
      </c>
      <c r="H71" s="125" t="str">
        <f t="shared" si="5"/>
        <v>-</v>
      </c>
      <c r="I71" s="125" t="str">
        <f t="shared" si="0"/>
        <v>-</v>
      </c>
      <c r="J71" s="118" t="str">
        <f t="shared" si="6"/>
        <v>-</v>
      </c>
      <c r="K71" s="125" t="str">
        <f t="shared" si="7"/>
        <v>-</v>
      </c>
      <c r="L71" s="126" t="str">
        <f t="shared" si="18"/>
        <v>-</v>
      </c>
      <c r="M71" s="122" t="str">
        <f>IF($C$16&gt;=B71,(IF(((P71-(J71+(I70*-1)+1))&lt;=0),1,((SUM(I$24:$I71)-(SUM($N$23:$N$25)))))),"-")</f>
        <v>-</v>
      </c>
      <c r="N71" s="121" t="str">
        <f>IF($C$16&gt;=B71,(IF((M71&lt;=0),1,((SUM($I$24:I71)-(SUM($N$23:N70)))))),"-")</f>
        <v>-</v>
      </c>
      <c r="O71" s="118" t="str">
        <f t="shared" si="8"/>
        <v>-</v>
      </c>
      <c r="P71" s="119" t="str">
        <f t="shared" si="9"/>
        <v>-</v>
      </c>
      <c r="Q71" s="191" t="str">
        <f t="shared" si="10"/>
        <v>-</v>
      </c>
      <c r="S71" s="192" t="str">
        <f t="shared" si="11"/>
        <v>-</v>
      </c>
      <c r="T71" s="190" t="str">
        <f t="shared" ca="1" si="12"/>
        <v>2030</v>
      </c>
      <c r="U71" s="106" t="str">
        <f t="shared" ca="1" si="13"/>
        <v>07</v>
      </c>
      <c r="V71" s="106" t="str">
        <f t="shared" ca="1" si="14"/>
        <v>07</v>
      </c>
      <c r="W71" s="220" t="str">
        <f t="shared" si="15"/>
        <v/>
      </c>
      <c r="Z71" s="106" t="str">
        <f t="shared" si="16"/>
        <v/>
      </c>
    </row>
    <row r="72" spans="2:26">
      <c r="B72" s="123">
        <v>49</v>
      </c>
      <c r="C72" s="115" t="str">
        <f t="shared" si="1"/>
        <v>-</v>
      </c>
      <c r="D72" s="115" t="str">
        <f t="shared" si="2"/>
        <v>-</v>
      </c>
      <c r="E72" s="124" t="str">
        <f t="shared" si="3"/>
        <v>-</v>
      </c>
      <c r="F72" s="116" t="str">
        <f t="shared" si="17"/>
        <v>-</v>
      </c>
      <c r="G72" s="117" t="str">
        <f t="shared" si="4"/>
        <v>-</v>
      </c>
      <c r="H72" s="125" t="str">
        <f t="shared" si="5"/>
        <v>-</v>
      </c>
      <c r="I72" s="125" t="str">
        <f t="shared" si="0"/>
        <v>-</v>
      </c>
      <c r="J72" s="118" t="str">
        <f t="shared" si="6"/>
        <v>-</v>
      </c>
      <c r="K72" s="125" t="str">
        <f t="shared" si="7"/>
        <v>-</v>
      </c>
      <c r="L72" s="126" t="str">
        <f t="shared" si="18"/>
        <v>-</v>
      </c>
      <c r="M72" s="122" t="str">
        <f>IF($C$16&gt;=B72,(IF(((P72-(J72+(I71*-1)+1))&lt;=0),1,((SUM(I$24:$I72)-(SUM($N$23:$N$25)))))),"-")</f>
        <v>-</v>
      </c>
      <c r="N72" s="121" t="str">
        <f>IF($C$16&gt;=B72,(IF((M72&lt;=0),1,((SUM($I$24:I72)-(SUM($N$23:N71)))))),"-")</f>
        <v>-</v>
      </c>
      <c r="O72" s="118" t="str">
        <f t="shared" si="8"/>
        <v>-</v>
      </c>
      <c r="P72" s="119" t="str">
        <f t="shared" si="9"/>
        <v>-</v>
      </c>
      <c r="Q72" s="191" t="str">
        <f t="shared" si="10"/>
        <v>-</v>
      </c>
      <c r="S72" s="192" t="str">
        <f t="shared" si="11"/>
        <v>-</v>
      </c>
      <c r="T72" s="190" t="str">
        <f t="shared" ca="1" si="12"/>
        <v>2030</v>
      </c>
      <c r="U72" s="106" t="str">
        <f t="shared" ca="1" si="13"/>
        <v>08</v>
      </c>
      <c r="V72" s="106" t="str">
        <f t="shared" ca="1" si="14"/>
        <v>07</v>
      </c>
      <c r="W72" s="220" t="str">
        <f t="shared" si="15"/>
        <v/>
      </c>
      <c r="Z72" s="106" t="str">
        <f t="shared" si="16"/>
        <v/>
      </c>
    </row>
    <row r="73" spans="2:26">
      <c r="B73" s="123">
        <v>50</v>
      </c>
      <c r="C73" s="115" t="str">
        <f t="shared" si="1"/>
        <v>-</v>
      </c>
      <c r="D73" s="115" t="str">
        <f t="shared" si="2"/>
        <v>-</v>
      </c>
      <c r="E73" s="124" t="str">
        <f t="shared" si="3"/>
        <v>-</v>
      </c>
      <c r="F73" s="116" t="str">
        <f t="shared" si="17"/>
        <v>-</v>
      </c>
      <c r="G73" s="117" t="str">
        <f t="shared" si="4"/>
        <v>-</v>
      </c>
      <c r="H73" s="125" t="str">
        <f t="shared" si="5"/>
        <v>-</v>
      </c>
      <c r="I73" s="125" t="str">
        <f t="shared" si="0"/>
        <v>-</v>
      </c>
      <c r="J73" s="118" t="str">
        <f t="shared" si="6"/>
        <v>-</v>
      </c>
      <c r="K73" s="125" t="str">
        <f t="shared" si="7"/>
        <v>-</v>
      </c>
      <c r="L73" s="126" t="str">
        <f t="shared" si="18"/>
        <v>-</v>
      </c>
      <c r="M73" s="122" t="str">
        <f>IF($C$16&gt;=B73,(IF(((P73-(J73+(I72*-1)+1))&lt;=0),1,((SUM(I$24:$I73)-(SUM($N$23:$N$25)))))),"-")</f>
        <v>-</v>
      </c>
      <c r="N73" s="121" t="str">
        <f>IF($C$16&gt;=B73,(IF((M73&lt;=0),1,((SUM($I$24:I73)-(SUM($N$23:N72)))))),"-")</f>
        <v>-</v>
      </c>
      <c r="O73" s="118" t="str">
        <f t="shared" si="8"/>
        <v>-</v>
      </c>
      <c r="P73" s="119" t="str">
        <f t="shared" si="9"/>
        <v>-</v>
      </c>
      <c r="Q73" s="191" t="str">
        <f t="shared" si="10"/>
        <v>-</v>
      </c>
      <c r="S73" s="192" t="str">
        <f t="shared" si="11"/>
        <v>-</v>
      </c>
      <c r="T73" s="190" t="str">
        <f t="shared" ca="1" si="12"/>
        <v>2030</v>
      </c>
      <c r="U73" s="106" t="str">
        <f t="shared" ca="1" si="13"/>
        <v>09</v>
      </c>
      <c r="V73" s="106" t="str">
        <f t="shared" ca="1" si="14"/>
        <v>07</v>
      </c>
      <c r="W73" s="220" t="str">
        <f t="shared" si="15"/>
        <v/>
      </c>
      <c r="Z73" s="106" t="str">
        <f t="shared" si="16"/>
        <v/>
      </c>
    </row>
    <row r="74" spans="2:26">
      <c r="B74" s="123">
        <v>51</v>
      </c>
      <c r="C74" s="115" t="str">
        <f t="shared" si="1"/>
        <v>-</v>
      </c>
      <c r="D74" s="115" t="str">
        <f t="shared" si="2"/>
        <v>-</v>
      </c>
      <c r="E74" s="124" t="str">
        <f t="shared" si="3"/>
        <v>-</v>
      </c>
      <c r="F74" s="116" t="str">
        <f t="shared" si="17"/>
        <v>-</v>
      </c>
      <c r="G74" s="117" t="str">
        <f t="shared" si="4"/>
        <v>-</v>
      </c>
      <c r="H74" s="125" t="str">
        <f t="shared" si="5"/>
        <v>-</v>
      </c>
      <c r="I74" s="125" t="str">
        <f t="shared" si="0"/>
        <v>-</v>
      </c>
      <c r="J74" s="118" t="str">
        <f t="shared" si="6"/>
        <v>-</v>
      </c>
      <c r="K74" s="125" t="str">
        <f t="shared" si="7"/>
        <v>-</v>
      </c>
      <c r="L74" s="126" t="str">
        <f t="shared" si="18"/>
        <v>-</v>
      </c>
      <c r="M74" s="122" t="str">
        <f>IF($C$16&gt;=B74,(IF(((P74-(J74+(I73*-1)+1))&lt;=0),1,((SUM(I$24:$I74)-(SUM($N$23:$N$25)))))),"-")</f>
        <v>-</v>
      </c>
      <c r="N74" s="121" t="str">
        <f>IF($C$16&gt;=B74,(IF((M74&lt;=0),1,((SUM($I$24:I74)-(SUM($N$23:N73)))))),"-")</f>
        <v>-</v>
      </c>
      <c r="O74" s="118" t="str">
        <f t="shared" si="8"/>
        <v>-</v>
      </c>
      <c r="P74" s="119" t="str">
        <f t="shared" si="9"/>
        <v>-</v>
      </c>
      <c r="Q74" s="191" t="str">
        <f t="shared" si="10"/>
        <v>-</v>
      </c>
      <c r="S74" s="192" t="str">
        <f t="shared" si="11"/>
        <v>-</v>
      </c>
      <c r="T74" s="190" t="str">
        <f t="shared" ca="1" si="12"/>
        <v>2030</v>
      </c>
      <c r="U74" s="106" t="str">
        <f t="shared" ca="1" si="13"/>
        <v>10</v>
      </c>
      <c r="V74" s="106" t="str">
        <f t="shared" ca="1" si="14"/>
        <v>07</v>
      </c>
      <c r="W74" s="220" t="str">
        <f t="shared" si="15"/>
        <v/>
      </c>
      <c r="Z74" s="106" t="str">
        <f t="shared" si="16"/>
        <v/>
      </c>
    </row>
    <row r="75" spans="2:26">
      <c r="B75" s="123">
        <v>52</v>
      </c>
      <c r="C75" s="115" t="str">
        <f t="shared" si="1"/>
        <v>-</v>
      </c>
      <c r="D75" s="115" t="str">
        <f t="shared" si="2"/>
        <v>-</v>
      </c>
      <c r="E75" s="124" t="str">
        <f t="shared" si="3"/>
        <v>-</v>
      </c>
      <c r="F75" s="116" t="str">
        <f t="shared" si="17"/>
        <v>-</v>
      </c>
      <c r="G75" s="117" t="str">
        <f t="shared" si="4"/>
        <v>-</v>
      </c>
      <c r="H75" s="125" t="str">
        <f t="shared" si="5"/>
        <v>-</v>
      </c>
      <c r="I75" s="125" t="str">
        <f t="shared" si="0"/>
        <v>-</v>
      </c>
      <c r="J75" s="118" t="str">
        <f t="shared" si="6"/>
        <v>-</v>
      </c>
      <c r="K75" s="125" t="str">
        <f t="shared" si="7"/>
        <v>-</v>
      </c>
      <c r="L75" s="126" t="str">
        <f t="shared" si="18"/>
        <v>-</v>
      </c>
      <c r="M75" s="122" t="str">
        <f>IF($C$16&gt;=B75,(IF(((P75-(J75+(I74*-1)+1))&lt;=0),1,((SUM(I$24:$I75)-(SUM($N$23:$N$25)))))),"-")</f>
        <v>-</v>
      </c>
      <c r="N75" s="121" t="str">
        <f>IF($C$16&gt;=B75,(IF((M75&lt;=0),1,((SUM($I$24:I75)-(SUM($N$23:N74)))))),"-")</f>
        <v>-</v>
      </c>
      <c r="O75" s="118" t="str">
        <f t="shared" si="8"/>
        <v>-</v>
      </c>
      <c r="P75" s="119" t="str">
        <f t="shared" si="9"/>
        <v>-</v>
      </c>
      <c r="Q75" s="191" t="str">
        <f t="shared" si="10"/>
        <v>-</v>
      </c>
      <c r="S75" s="192" t="str">
        <f t="shared" si="11"/>
        <v>-</v>
      </c>
      <c r="T75" s="190" t="str">
        <f t="shared" ca="1" si="12"/>
        <v>2030</v>
      </c>
      <c r="U75" s="106" t="str">
        <f t="shared" ca="1" si="13"/>
        <v>11</v>
      </c>
      <c r="V75" s="106" t="str">
        <f t="shared" ca="1" si="14"/>
        <v>07</v>
      </c>
      <c r="W75" s="220" t="str">
        <f t="shared" si="15"/>
        <v/>
      </c>
      <c r="Z75" s="106" t="str">
        <f t="shared" si="16"/>
        <v/>
      </c>
    </row>
    <row r="76" spans="2:26">
      <c r="B76" s="123">
        <v>53</v>
      </c>
      <c r="C76" s="115" t="str">
        <f t="shared" si="1"/>
        <v>-</v>
      </c>
      <c r="D76" s="115" t="str">
        <f t="shared" si="2"/>
        <v>-</v>
      </c>
      <c r="E76" s="124" t="str">
        <f t="shared" si="3"/>
        <v>-</v>
      </c>
      <c r="F76" s="116" t="str">
        <f t="shared" si="17"/>
        <v>-</v>
      </c>
      <c r="G76" s="117" t="str">
        <f t="shared" si="4"/>
        <v>-</v>
      </c>
      <c r="H76" s="125" t="str">
        <f t="shared" si="5"/>
        <v>-</v>
      </c>
      <c r="I76" s="125" t="str">
        <f t="shared" si="0"/>
        <v>-</v>
      </c>
      <c r="J76" s="118" t="str">
        <f t="shared" si="6"/>
        <v>-</v>
      </c>
      <c r="K76" s="125" t="str">
        <f t="shared" si="7"/>
        <v>-</v>
      </c>
      <c r="L76" s="126" t="str">
        <f t="shared" si="18"/>
        <v>-</v>
      </c>
      <c r="M76" s="122" t="str">
        <f>IF($C$16&gt;=B76,(IF(((P76-(J76+(I75*-1)+1))&lt;=0),1,((SUM(I$24:$I76)-(SUM($N$23:$N$25)))))),"-")</f>
        <v>-</v>
      </c>
      <c r="N76" s="121" t="str">
        <f>IF($C$16&gt;=B76,(IF((M76&lt;=0),1,((SUM($I$24:I76)-(SUM($N$23:N75)))))),"-")</f>
        <v>-</v>
      </c>
      <c r="O76" s="118" t="str">
        <f t="shared" si="8"/>
        <v>-</v>
      </c>
      <c r="P76" s="119" t="str">
        <f t="shared" si="9"/>
        <v>-</v>
      </c>
      <c r="Q76" s="191" t="str">
        <f t="shared" si="10"/>
        <v>-</v>
      </c>
      <c r="S76" s="192" t="str">
        <f t="shared" si="11"/>
        <v>-</v>
      </c>
      <c r="T76" s="190" t="str">
        <f t="shared" ca="1" si="12"/>
        <v>2030</v>
      </c>
      <c r="U76" s="106" t="str">
        <f t="shared" ca="1" si="13"/>
        <v>12</v>
      </c>
      <c r="V76" s="106" t="str">
        <f t="shared" ca="1" si="14"/>
        <v>07</v>
      </c>
      <c r="W76" s="220" t="str">
        <f t="shared" si="15"/>
        <v/>
      </c>
      <c r="Z76" s="106" t="str">
        <f t="shared" si="16"/>
        <v/>
      </c>
    </row>
    <row r="77" spans="2:26">
      <c r="B77" s="123">
        <v>54</v>
      </c>
      <c r="C77" s="115" t="str">
        <f t="shared" si="1"/>
        <v>-</v>
      </c>
      <c r="D77" s="115" t="str">
        <f t="shared" si="2"/>
        <v>-</v>
      </c>
      <c r="E77" s="124" t="str">
        <f t="shared" si="3"/>
        <v>-</v>
      </c>
      <c r="F77" s="116" t="str">
        <f t="shared" si="17"/>
        <v>-</v>
      </c>
      <c r="G77" s="117" t="str">
        <f t="shared" si="4"/>
        <v>-</v>
      </c>
      <c r="H77" s="125" t="str">
        <f t="shared" si="5"/>
        <v>-</v>
      </c>
      <c r="I77" s="125" t="str">
        <f t="shared" si="0"/>
        <v>-</v>
      </c>
      <c r="J77" s="118" t="str">
        <f t="shared" si="6"/>
        <v>-</v>
      </c>
      <c r="K77" s="125" t="str">
        <f t="shared" si="7"/>
        <v>-</v>
      </c>
      <c r="L77" s="126" t="str">
        <f t="shared" si="18"/>
        <v>-</v>
      </c>
      <c r="M77" s="122" t="str">
        <f>IF($C$16&gt;=B77,(IF(((P77-(J77+(I76*-1)+1))&lt;=0),1,((SUM(I$24:$I77)-(SUM($N$23:$N$25)))))),"-")</f>
        <v>-</v>
      </c>
      <c r="N77" s="121" t="str">
        <f>IF($C$16&gt;=B77,(IF((M77&lt;=0),1,((SUM($I$24:I77)-(SUM($N$23:N76)))))),"-")</f>
        <v>-</v>
      </c>
      <c r="O77" s="118" t="str">
        <f t="shared" si="8"/>
        <v>-</v>
      </c>
      <c r="P77" s="119" t="str">
        <f t="shared" si="9"/>
        <v>-</v>
      </c>
      <c r="Q77" s="191" t="str">
        <f t="shared" si="10"/>
        <v>-</v>
      </c>
      <c r="S77" s="192" t="str">
        <f t="shared" si="11"/>
        <v>-</v>
      </c>
      <c r="T77" s="190" t="str">
        <f t="shared" ca="1" si="12"/>
        <v>2031</v>
      </c>
      <c r="U77" s="106" t="str">
        <f t="shared" ca="1" si="13"/>
        <v>01</v>
      </c>
      <c r="V77" s="106" t="str">
        <f t="shared" ca="1" si="14"/>
        <v>07</v>
      </c>
      <c r="W77" s="220" t="str">
        <f t="shared" si="15"/>
        <v/>
      </c>
      <c r="Z77" s="106" t="str">
        <f t="shared" si="16"/>
        <v/>
      </c>
    </row>
    <row r="78" spans="2:26">
      <c r="B78" s="123">
        <v>55</v>
      </c>
      <c r="C78" s="115" t="str">
        <f t="shared" si="1"/>
        <v>-</v>
      </c>
      <c r="D78" s="115" t="str">
        <f t="shared" si="2"/>
        <v>-</v>
      </c>
      <c r="E78" s="124" t="str">
        <f t="shared" si="3"/>
        <v>-</v>
      </c>
      <c r="F78" s="116" t="str">
        <f t="shared" si="17"/>
        <v>-</v>
      </c>
      <c r="G78" s="117" t="str">
        <f t="shared" si="4"/>
        <v>-</v>
      </c>
      <c r="H78" s="125" t="str">
        <f t="shared" si="5"/>
        <v>-</v>
      </c>
      <c r="I78" s="125" t="str">
        <f t="shared" si="0"/>
        <v>-</v>
      </c>
      <c r="J78" s="118" t="str">
        <f t="shared" si="6"/>
        <v>-</v>
      </c>
      <c r="K78" s="125" t="str">
        <f t="shared" si="7"/>
        <v>-</v>
      </c>
      <c r="L78" s="126" t="str">
        <f t="shared" si="18"/>
        <v>-</v>
      </c>
      <c r="M78" s="122" t="str">
        <f>IF($C$16&gt;=B78,(IF(((P78-(J78+(I77*-1)+1))&lt;=0),1,((SUM(I$24:$I78)-(SUM($N$23:$N$25)))))),"-")</f>
        <v>-</v>
      </c>
      <c r="N78" s="121" t="str">
        <f>IF($C$16&gt;=B78,(IF((M78&lt;=0),1,((SUM($I$24:I78)-(SUM($N$23:N77)))))),"-")</f>
        <v>-</v>
      </c>
      <c r="O78" s="118" t="str">
        <f t="shared" si="8"/>
        <v>-</v>
      </c>
      <c r="P78" s="119" t="str">
        <f t="shared" si="9"/>
        <v>-</v>
      </c>
      <c r="Q78" s="191" t="str">
        <f t="shared" si="10"/>
        <v>-</v>
      </c>
      <c r="S78" s="192" t="str">
        <f t="shared" si="11"/>
        <v>-</v>
      </c>
      <c r="T78" s="190" t="str">
        <f t="shared" ca="1" si="12"/>
        <v>2031</v>
      </c>
      <c r="U78" s="106" t="str">
        <f t="shared" ca="1" si="13"/>
        <v>02</v>
      </c>
      <c r="V78" s="106" t="str">
        <f t="shared" ca="1" si="14"/>
        <v>07</v>
      </c>
      <c r="W78" s="220" t="str">
        <f t="shared" si="15"/>
        <v/>
      </c>
      <c r="Z78" s="106" t="str">
        <f t="shared" si="16"/>
        <v/>
      </c>
    </row>
    <row r="79" spans="2:26">
      <c r="B79" s="123">
        <v>56</v>
      </c>
      <c r="C79" s="115" t="str">
        <f t="shared" si="1"/>
        <v>-</v>
      </c>
      <c r="D79" s="115" t="str">
        <f t="shared" si="2"/>
        <v>-</v>
      </c>
      <c r="E79" s="124" t="str">
        <f t="shared" si="3"/>
        <v>-</v>
      </c>
      <c r="F79" s="116" t="str">
        <f t="shared" si="17"/>
        <v>-</v>
      </c>
      <c r="G79" s="117" t="str">
        <f t="shared" si="4"/>
        <v>-</v>
      </c>
      <c r="H79" s="125" t="str">
        <f t="shared" si="5"/>
        <v>-</v>
      </c>
      <c r="I79" s="125" t="str">
        <f t="shared" si="0"/>
        <v>-</v>
      </c>
      <c r="J79" s="118" t="str">
        <f t="shared" si="6"/>
        <v>-</v>
      </c>
      <c r="K79" s="125" t="str">
        <f t="shared" si="7"/>
        <v>-</v>
      </c>
      <c r="L79" s="126" t="str">
        <f t="shared" si="18"/>
        <v>-</v>
      </c>
      <c r="M79" s="122" t="str">
        <f>IF($C$16&gt;=B79,(IF(((P79-(J79+(I78*-1)+1))&lt;=0),1,((SUM(I$24:$I79)-(SUM($N$23:$N$25)))))),"-")</f>
        <v>-</v>
      </c>
      <c r="N79" s="121" t="str">
        <f>IF($C$16&gt;=B79,(IF((M79&lt;=0),1,((SUM($I$24:I79)-(SUM($N$23:N78)))))),"-")</f>
        <v>-</v>
      </c>
      <c r="O79" s="118" t="str">
        <f t="shared" si="8"/>
        <v>-</v>
      </c>
      <c r="P79" s="119" t="str">
        <f t="shared" si="9"/>
        <v>-</v>
      </c>
      <c r="Q79" s="191" t="str">
        <f t="shared" si="10"/>
        <v>-</v>
      </c>
      <c r="S79" s="192" t="str">
        <f t="shared" si="11"/>
        <v>-</v>
      </c>
      <c r="T79" s="190" t="str">
        <f t="shared" ca="1" si="12"/>
        <v>2031</v>
      </c>
      <c r="U79" s="106" t="str">
        <f t="shared" ca="1" si="13"/>
        <v>03</v>
      </c>
      <c r="V79" s="106" t="str">
        <f t="shared" ca="1" si="14"/>
        <v>07</v>
      </c>
      <c r="W79" s="220" t="str">
        <f t="shared" si="15"/>
        <v/>
      </c>
      <c r="Z79" s="106" t="str">
        <f t="shared" si="16"/>
        <v/>
      </c>
    </row>
    <row r="80" spans="2:26">
      <c r="B80" s="123">
        <v>57</v>
      </c>
      <c r="C80" s="115" t="str">
        <f t="shared" si="1"/>
        <v>-</v>
      </c>
      <c r="D80" s="115" t="str">
        <f t="shared" si="2"/>
        <v>-</v>
      </c>
      <c r="E80" s="124" t="str">
        <f t="shared" si="3"/>
        <v>-</v>
      </c>
      <c r="F80" s="116" t="str">
        <f t="shared" si="17"/>
        <v>-</v>
      </c>
      <c r="G80" s="117" t="str">
        <f t="shared" si="4"/>
        <v>-</v>
      </c>
      <c r="H80" s="125" t="str">
        <f t="shared" si="5"/>
        <v>-</v>
      </c>
      <c r="I80" s="125" t="str">
        <f t="shared" si="0"/>
        <v>-</v>
      </c>
      <c r="J80" s="118" t="str">
        <f t="shared" si="6"/>
        <v>-</v>
      </c>
      <c r="K80" s="125" t="str">
        <f t="shared" si="7"/>
        <v>-</v>
      </c>
      <c r="L80" s="126" t="str">
        <f t="shared" si="18"/>
        <v>-</v>
      </c>
      <c r="M80" s="122" t="str">
        <f>IF($C$16&gt;=B80,(IF(((P80-(J80+(I79*-1)+1))&lt;=0),1,((SUM(I$24:$I80)-(SUM($N$23:$N$25)))))),"-")</f>
        <v>-</v>
      </c>
      <c r="N80" s="121" t="str">
        <f>IF($C$16&gt;=B80,(IF((M80&lt;=0),1,((SUM($I$24:I80)-(SUM($N$23:N79)))))),"-")</f>
        <v>-</v>
      </c>
      <c r="O80" s="118" t="str">
        <f t="shared" si="8"/>
        <v>-</v>
      </c>
      <c r="P80" s="119" t="str">
        <f t="shared" si="9"/>
        <v>-</v>
      </c>
      <c r="Q80" s="191" t="str">
        <f t="shared" si="10"/>
        <v>-</v>
      </c>
      <c r="S80" s="192" t="str">
        <f t="shared" si="11"/>
        <v>-</v>
      </c>
      <c r="T80" s="190" t="str">
        <f t="shared" ca="1" si="12"/>
        <v>2031</v>
      </c>
      <c r="U80" s="106" t="str">
        <f t="shared" ca="1" si="13"/>
        <v>04</v>
      </c>
      <c r="V80" s="106" t="str">
        <f t="shared" ca="1" si="14"/>
        <v>07</v>
      </c>
      <c r="W80" s="220" t="str">
        <f t="shared" si="15"/>
        <v/>
      </c>
      <c r="Z80" s="106" t="str">
        <f t="shared" si="16"/>
        <v/>
      </c>
    </row>
    <row r="81" spans="2:26">
      <c r="B81" s="123">
        <v>58</v>
      </c>
      <c r="C81" s="115" t="str">
        <f t="shared" si="1"/>
        <v>-</v>
      </c>
      <c r="D81" s="115" t="str">
        <f t="shared" si="2"/>
        <v>-</v>
      </c>
      <c r="E81" s="124" t="str">
        <f t="shared" si="3"/>
        <v>-</v>
      </c>
      <c r="F81" s="116" t="str">
        <f t="shared" si="17"/>
        <v>-</v>
      </c>
      <c r="G81" s="117" t="str">
        <f t="shared" si="4"/>
        <v>-</v>
      </c>
      <c r="H81" s="125" t="str">
        <f t="shared" si="5"/>
        <v>-</v>
      </c>
      <c r="I81" s="125" t="str">
        <f t="shared" si="0"/>
        <v>-</v>
      </c>
      <c r="J81" s="118" t="str">
        <f t="shared" si="6"/>
        <v>-</v>
      </c>
      <c r="K81" s="125" t="str">
        <f t="shared" si="7"/>
        <v>-</v>
      </c>
      <c r="L81" s="126" t="str">
        <f t="shared" si="18"/>
        <v>-</v>
      </c>
      <c r="M81" s="122" t="str">
        <f>IF($C$16&gt;=B81,(IF(((P81-(J81+(I80*-1)+1))&lt;=0),1,((SUM(I$24:$I81)-(SUM($N$23:$N$25)))))),"-")</f>
        <v>-</v>
      </c>
      <c r="N81" s="121" t="str">
        <f>IF($C$16&gt;=B81,(IF((M81&lt;=0),1,((SUM($I$24:I81)-(SUM($N$23:N80)))))),"-")</f>
        <v>-</v>
      </c>
      <c r="O81" s="118" t="str">
        <f t="shared" si="8"/>
        <v>-</v>
      </c>
      <c r="P81" s="119" t="str">
        <f t="shared" si="9"/>
        <v>-</v>
      </c>
      <c r="Q81" s="191" t="str">
        <f t="shared" si="10"/>
        <v>-</v>
      </c>
      <c r="S81" s="192" t="str">
        <f t="shared" si="11"/>
        <v>-</v>
      </c>
      <c r="T81" s="190" t="str">
        <f t="shared" ca="1" si="12"/>
        <v>2031</v>
      </c>
      <c r="U81" s="106" t="str">
        <f t="shared" ca="1" si="13"/>
        <v>05</v>
      </c>
      <c r="V81" s="106" t="str">
        <f t="shared" ca="1" si="14"/>
        <v>07</v>
      </c>
      <c r="W81" s="220" t="str">
        <f t="shared" si="15"/>
        <v/>
      </c>
      <c r="Z81" s="106" t="str">
        <f t="shared" si="16"/>
        <v/>
      </c>
    </row>
    <row r="82" spans="2:26">
      <c r="B82" s="123">
        <v>59</v>
      </c>
      <c r="C82" s="115" t="str">
        <f t="shared" si="1"/>
        <v>-</v>
      </c>
      <c r="D82" s="115" t="str">
        <f t="shared" si="2"/>
        <v>-</v>
      </c>
      <c r="E82" s="124" t="str">
        <f t="shared" si="3"/>
        <v>-</v>
      </c>
      <c r="F82" s="116" t="str">
        <f t="shared" si="17"/>
        <v>-</v>
      </c>
      <c r="G82" s="117" t="str">
        <f t="shared" si="4"/>
        <v>-</v>
      </c>
      <c r="H82" s="125" t="str">
        <f t="shared" si="5"/>
        <v>-</v>
      </c>
      <c r="I82" s="125" t="str">
        <f t="shared" si="0"/>
        <v>-</v>
      </c>
      <c r="J82" s="118" t="str">
        <f t="shared" si="6"/>
        <v>-</v>
      </c>
      <c r="K82" s="125" t="str">
        <f t="shared" si="7"/>
        <v>-</v>
      </c>
      <c r="L82" s="126" t="str">
        <f t="shared" si="18"/>
        <v>-</v>
      </c>
      <c r="M82" s="122" t="str">
        <f>IF($C$16&gt;=B82,(IF(((P82-(J82+(I81*-1)+1))&lt;=0),1,((SUM(I$24:$I82)-(SUM($N$23:$N$25)))))),"-")</f>
        <v>-</v>
      </c>
      <c r="N82" s="121" t="str">
        <f>IF($C$16&gt;=B82,(IF((M82&lt;=0),1,((SUM($I$24:I82)-(SUM($N$23:N81)))))),"-")</f>
        <v>-</v>
      </c>
      <c r="O82" s="118" t="str">
        <f t="shared" si="8"/>
        <v>-</v>
      </c>
      <c r="P82" s="119" t="str">
        <f t="shared" si="9"/>
        <v>-</v>
      </c>
      <c r="Q82" s="191" t="str">
        <f t="shared" si="10"/>
        <v>-</v>
      </c>
      <c r="S82" s="192" t="str">
        <f t="shared" si="11"/>
        <v>-</v>
      </c>
      <c r="T82" s="190" t="str">
        <f t="shared" ca="1" si="12"/>
        <v>2031</v>
      </c>
      <c r="U82" s="106" t="str">
        <f t="shared" ca="1" si="13"/>
        <v>06</v>
      </c>
      <c r="V82" s="106" t="str">
        <f t="shared" ca="1" si="14"/>
        <v>07</v>
      </c>
      <c r="W82" s="220" t="str">
        <f t="shared" si="15"/>
        <v/>
      </c>
      <c r="Z82" s="106" t="str">
        <f t="shared" si="16"/>
        <v/>
      </c>
    </row>
    <row r="83" spans="2:26">
      <c r="B83" s="123">
        <v>60</v>
      </c>
      <c r="C83" s="115" t="str">
        <f t="shared" si="1"/>
        <v>-</v>
      </c>
      <c r="D83" s="115" t="str">
        <f t="shared" si="2"/>
        <v>-</v>
      </c>
      <c r="E83" s="124" t="str">
        <f t="shared" si="3"/>
        <v>-</v>
      </c>
      <c r="F83" s="116" t="str">
        <f t="shared" si="17"/>
        <v>-</v>
      </c>
      <c r="G83" s="117" t="str">
        <f t="shared" si="4"/>
        <v>-</v>
      </c>
      <c r="H83" s="125" t="str">
        <f t="shared" si="5"/>
        <v>-</v>
      </c>
      <c r="I83" s="125" t="str">
        <f t="shared" si="0"/>
        <v>-</v>
      </c>
      <c r="J83" s="118" t="str">
        <f t="shared" si="6"/>
        <v>-</v>
      </c>
      <c r="K83" s="125" t="str">
        <f t="shared" si="7"/>
        <v>-</v>
      </c>
      <c r="L83" s="126" t="str">
        <f t="shared" si="18"/>
        <v>-</v>
      </c>
      <c r="M83" s="122" t="str">
        <f>IF($C$16&gt;=B83,(IF(((P83-(J83+(I82*-1)+1))&lt;=0),1,((SUM(I$24:$I83)-(SUM($N$23:$N$25)))))),"-")</f>
        <v>-</v>
      </c>
      <c r="N83" s="121" t="str">
        <f>IF($C$16&gt;=B83,(IF((M83&lt;=0),1,((SUM($I$24:I83)-(SUM($N$23:N82)))))),"-")</f>
        <v>-</v>
      </c>
      <c r="O83" s="118" t="str">
        <f t="shared" si="8"/>
        <v>-</v>
      </c>
      <c r="P83" s="119" t="str">
        <f t="shared" si="9"/>
        <v>-</v>
      </c>
      <c r="Q83" s="191" t="str">
        <f t="shared" si="10"/>
        <v>-</v>
      </c>
      <c r="S83" s="192" t="str">
        <f t="shared" si="11"/>
        <v>-</v>
      </c>
      <c r="T83" s="190" t="str">
        <f t="shared" ca="1" si="12"/>
        <v>2031</v>
      </c>
      <c r="U83" s="106" t="str">
        <f t="shared" ca="1" si="13"/>
        <v>07</v>
      </c>
      <c r="V83" s="106" t="str">
        <f t="shared" ca="1" si="14"/>
        <v>07</v>
      </c>
      <c r="W83" s="220" t="str">
        <f t="shared" si="15"/>
        <v/>
      </c>
      <c r="Z83" s="106" t="str">
        <f t="shared" si="16"/>
        <v/>
      </c>
    </row>
    <row r="84" spans="2:26" hidden="1">
      <c r="B84" s="123">
        <v>61</v>
      </c>
      <c r="C84" s="115" t="str">
        <f t="shared" si="1"/>
        <v>-</v>
      </c>
      <c r="D84" s="115" t="str">
        <f t="shared" si="2"/>
        <v>-</v>
      </c>
      <c r="E84" s="124" t="str">
        <f t="shared" si="3"/>
        <v>-</v>
      </c>
      <c r="F84" s="116" t="str">
        <f t="shared" si="17"/>
        <v>-</v>
      </c>
      <c r="G84" s="117" t="str">
        <f t="shared" si="4"/>
        <v>-</v>
      </c>
      <c r="H84" s="125" t="str">
        <f t="shared" si="5"/>
        <v>-</v>
      </c>
      <c r="I84" s="125" t="str">
        <f t="shared" si="0"/>
        <v>-</v>
      </c>
      <c r="J84" s="118" t="str">
        <f t="shared" si="6"/>
        <v>-</v>
      </c>
      <c r="K84" s="125" t="str">
        <f t="shared" si="7"/>
        <v>-</v>
      </c>
      <c r="L84" s="126" t="str">
        <f t="shared" si="18"/>
        <v>-</v>
      </c>
      <c r="M84" s="122" t="str">
        <f>IF($C$16&gt;=B84,(IF(((P84-(J84+(I83*-1)+1))&lt;=0),1,((SUM(I$24:$I84)-(SUM($N$23:$N$25)))))),"-")</f>
        <v>-</v>
      </c>
      <c r="N84" s="121" t="str">
        <f>IF($C$16&gt;=B84,(IF((M84&lt;=0),1,((SUM($I$24:I84)-(SUM($N$23:N83)))))),"-")</f>
        <v>-</v>
      </c>
      <c r="O84" s="118" t="str">
        <f t="shared" si="8"/>
        <v>-</v>
      </c>
      <c r="P84" s="119" t="str">
        <f t="shared" si="9"/>
        <v>-</v>
      </c>
      <c r="Q84" s="191" t="str">
        <f t="shared" si="10"/>
        <v>-</v>
      </c>
      <c r="S84" s="192" t="str">
        <f t="shared" si="11"/>
        <v>-</v>
      </c>
      <c r="T84" s="190" t="str">
        <f t="shared" ca="1" si="12"/>
        <v>2031</v>
      </c>
      <c r="U84" s="106" t="str">
        <f t="shared" ca="1" si="13"/>
        <v>08</v>
      </c>
      <c r="V84" s="106" t="str">
        <f t="shared" ca="1" si="14"/>
        <v>07</v>
      </c>
      <c r="W84" s="106" t="e">
        <f t="shared" ref="W84:W85" si="19">+H84*$X$11</f>
        <v>#VALUE!</v>
      </c>
      <c r="Z84" s="106" t="str">
        <f t="shared" si="16"/>
        <v/>
      </c>
    </row>
    <row r="85" spans="2:26" hidden="1">
      <c r="B85" s="123">
        <v>62</v>
      </c>
      <c r="C85" s="115" t="str">
        <f t="shared" si="1"/>
        <v>-</v>
      </c>
      <c r="D85" s="115" t="str">
        <f t="shared" si="2"/>
        <v>-</v>
      </c>
      <c r="E85" s="124" t="str">
        <f t="shared" si="3"/>
        <v>-</v>
      </c>
      <c r="F85" s="116" t="str">
        <f t="shared" si="17"/>
        <v>-</v>
      </c>
      <c r="G85" s="117" t="str">
        <f t="shared" si="4"/>
        <v>-</v>
      </c>
      <c r="H85" s="125" t="str">
        <f t="shared" si="5"/>
        <v>-</v>
      </c>
      <c r="I85" s="125" t="str">
        <f t="shared" si="0"/>
        <v>-</v>
      </c>
      <c r="J85" s="118" t="str">
        <f t="shared" si="6"/>
        <v>-</v>
      </c>
      <c r="K85" s="125" t="str">
        <f t="shared" si="7"/>
        <v>-</v>
      </c>
      <c r="L85" s="126" t="str">
        <f t="shared" si="18"/>
        <v>-</v>
      </c>
      <c r="M85" s="122" t="str">
        <f>IF($C$16&gt;=B85,(IF(((P85-(J85+(I84*-1)+1))&lt;=0),1,((SUM(I$24:$I85)-(SUM($N$23:$N$25)))))),"-")</f>
        <v>-</v>
      </c>
      <c r="N85" s="121" t="str">
        <f>IF($C$16&gt;=B85,(IF((M85&lt;=0),1,((SUM($I$24:I85)-(SUM($N$23:N84)))))),"-")</f>
        <v>-</v>
      </c>
      <c r="O85" s="118" t="str">
        <f t="shared" si="8"/>
        <v>-</v>
      </c>
      <c r="P85" s="119" t="str">
        <f t="shared" si="9"/>
        <v>-</v>
      </c>
      <c r="Q85" s="191" t="str">
        <f t="shared" si="10"/>
        <v>-</v>
      </c>
      <c r="S85" s="192" t="str">
        <f t="shared" si="11"/>
        <v>-</v>
      </c>
      <c r="T85" s="190" t="str">
        <f t="shared" ca="1" si="12"/>
        <v>2031</v>
      </c>
      <c r="U85" s="106" t="str">
        <f t="shared" ca="1" si="13"/>
        <v>09</v>
      </c>
      <c r="V85" s="106" t="str">
        <f t="shared" ca="1" si="14"/>
        <v>07</v>
      </c>
      <c r="W85" s="106" t="e">
        <f t="shared" si="19"/>
        <v>#VALUE!</v>
      </c>
      <c r="Z85" s="106" t="str">
        <f t="shared" si="16"/>
        <v/>
      </c>
    </row>
    <row r="86" spans="2:26" hidden="1">
      <c r="B86" s="123"/>
      <c r="C86" s="176"/>
      <c r="D86" s="176"/>
      <c r="E86" s="177"/>
      <c r="F86" s="178"/>
      <c r="G86" s="179"/>
      <c r="H86" s="180"/>
      <c r="I86" s="181"/>
      <c r="J86" s="181"/>
      <c r="K86" s="181"/>
      <c r="L86" s="182"/>
      <c r="M86" s="120"/>
      <c r="N86" s="183"/>
      <c r="O86" s="181"/>
      <c r="P86" s="182"/>
      <c r="Q86" s="191"/>
      <c r="S86" s="192"/>
    </row>
    <row r="87" spans="2:26" ht="12.6">
      <c r="B87" s="127"/>
      <c r="C87" s="127"/>
      <c r="D87" s="127"/>
      <c r="E87" s="128">
        <f ca="1">SUM(E24:E86)</f>
        <v>728</v>
      </c>
      <c r="F87" s="127"/>
      <c r="G87" s="129">
        <f ca="1">SUM(G24:G86)</f>
        <v>19.608282882999998</v>
      </c>
      <c r="H87" s="127"/>
      <c r="I87" s="130">
        <f ca="1">SUM(I24:I86)</f>
        <v>10000.000000000002</v>
      </c>
      <c r="J87" s="130">
        <f ca="1">SUM(J24:J86)</f>
        <v>2239.7600000000007</v>
      </c>
      <c r="K87" s="130">
        <f ca="1">SUM(K24:K86)</f>
        <v>12239.759999999997</v>
      </c>
      <c r="L87" s="131"/>
      <c r="M87" s="132"/>
      <c r="N87" s="133">
        <f ca="1">SUM(N24:N86)</f>
        <v>10000.000000000002</v>
      </c>
      <c r="O87" s="133">
        <f t="shared" ref="O87:P87" ca="1" si="20">SUM(O24:O86)</f>
        <v>2239.7599999999975</v>
      </c>
      <c r="P87" s="133">
        <f t="shared" ca="1" si="20"/>
        <v>12239.759999999997</v>
      </c>
      <c r="Q87" s="193"/>
    </row>
    <row r="88" spans="2:26">
      <c r="P88" s="191"/>
      <c r="Q88" s="193"/>
    </row>
    <row r="90" spans="2:26">
      <c r="O90" s="205"/>
    </row>
  </sheetData>
  <mergeCells count="7">
    <mergeCell ref="D17:D18"/>
    <mergeCell ref="B21:P21"/>
    <mergeCell ref="B2:X2"/>
    <mergeCell ref="B4:O4"/>
    <mergeCell ref="B5:O5"/>
    <mergeCell ref="B8:L8"/>
    <mergeCell ref="B9:P9"/>
  </mergeCells>
  <dataValidations count="1">
    <dataValidation type="whole" allowBlank="1" showErrorMessage="1" errorTitle="Error Plazo" error="Ingres un Plazo entre 2 y 60 meses." prompt="Ingrese un Plazo entre 2 y 60 meses_x000a_" sqref="C16" xr:uid="{00000000-0002-0000-0200-000000000000}">
      <formula1>2</formula1>
      <formula2>60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X90"/>
  <sheetViews>
    <sheetView showGridLines="0" workbookViewId="0"/>
  </sheetViews>
  <sheetFormatPr baseColWidth="10" defaultColWidth="11.44140625" defaultRowHeight="10.199999999999999"/>
  <cols>
    <col min="1" max="1" width="3.44140625" style="7" customWidth="1"/>
    <col min="2" max="2" width="14.109375" style="7" customWidth="1"/>
    <col min="3" max="3" width="9.44140625" style="7" customWidth="1"/>
    <col min="4" max="4" width="22.44140625" style="7" customWidth="1"/>
    <col min="5" max="5" width="8.109375" style="7" customWidth="1"/>
    <col min="6" max="6" width="13.33203125" style="7" customWidth="1"/>
    <col min="7" max="7" width="13.44140625" style="7" customWidth="1"/>
    <col min="8" max="8" width="11.44140625" style="7" customWidth="1"/>
    <col min="9" max="9" width="11.5546875" style="7" customWidth="1"/>
    <col min="10" max="10" width="24.33203125" style="7" customWidth="1"/>
    <col min="11" max="12" width="10.5546875" style="7" customWidth="1"/>
    <col min="13" max="13" width="9" style="7" customWidth="1"/>
    <col min="14" max="14" width="24.33203125" style="7" customWidth="1"/>
    <col min="15" max="15" width="11.5546875" style="7" customWidth="1"/>
    <col min="16" max="16" width="11.44140625" style="7" customWidth="1"/>
    <col min="17" max="17" width="6.109375" style="97" customWidth="1"/>
    <col min="18" max="18" width="9.5546875" style="97" customWidth="1"/>
    <col min="19" max="19" width="9" style="97" customWidth="1"/>
    <col min="20" max="22" width="8.109375" style="97" customWidth="1"/>
    <col min="23" max="23" width="10.88671875" style="97" customWidth="1"/>
    <col min="24" max="24" width="2.6640625" style="97" customWidth="1"/>
    <col min="25" max="195" width="10.88671875" style="7"/>
    <col min="196" max="196" width="3.5546875" style="7" customWidth="1"/>
    <col min="197" max="198" width="9" style="7" customWidth="1"/>
    <col min="199" max="199" width="7" style="7" customWidth="1"/>
    <col min="200" max="200" width="13.33203125" style="7" customWidth="1"/>
    <col min="201" max="201" width="10" style="7" customWidth="1"/>
    <col min="202" max="202" width="11.44140625" style="7" customWidth="1"/>
    <col min="203" max="203" width="11.5546875" style="7" customWidth="1"/>
    <col min="204" max="204" width="9.109375" style="7" customWidth="1"/>
    <col min="205" max="206" width="9.44140625" style="7" customWidth="1"/>
    <col min="207" max="207" width="0" style="7" hidden="1" customWidth="1"/>
    <col min="208" max="209" width="9.5546875" style="7" customWidth="1"/>
    <col min="210" max="210" width="10.33203125" style="7" customWidth="1"/>
    <col min="211" max="211" width="3.109375" style="7" customWidth="1"/>
    <col min="212" max="216" width="0" style="7" hidden="1" customWidth="1"/>
    <col min="217" max="217" width="10.88671875" style="7"/>
    <col min="218" max="219" width="7.109375" style="7" customWidth="1"/>
    <col min="220" max="451" width="10.88671875" style="7"/>
    <col min="452" max="452" width="3.5546875" style="7" customWidth="1"/>
    <col min="453" max="454" width="9" style="7" customWidth="1"/>
    <col min="455" max="455" width="7" style="7" customWidth="1"/>
    <col min="456" max="456" width="13.33203125" style="7" customWidth="1"/>
    <col min="457" max="457" width="10" style="7" customWidth="1"/>
    <col min="458" max="458" width="11.44140625" style="7" customWidth="1"/>
    <col min="459" max="459" width="11.5546875" style="7" customWidth="1"/>
    <col min="460" max="460" width="9.109375" style="7" customWidth="1"/>
    <col min="461" max="462" width="9.44140625" style="7" customWidth="1"/>
    <col min="463" max="463" width="0" style="7" hidden="1" customWidth="1"/>
    <col min="464" max="465" width="9.5546875" style="7" customWidth="1"/>
    <col min="466" max="466" width="10.33203125" style="7" customWidth="1"/>
    <col min="467" max="467" width="3.109375" style="7" customWidth="1"/>
    <col min="468" max="472" width="0" style="7" hidden="1" customWidth="1"/>
    <col min="473" max="473" width="10.88671875" style="7"/>
    <col min="474" max="475" width="7.109375" style="7" customWidth="1"/>
    <col min="476" max="707" width="10.88671875" style="7"/>
    <col min="708" max="708" width="3.5546875" style="7" customWidth="1"/>
    <col min="709" max="710" width="9" style="7" customWidth="1"/>
    <col min="711" max="711" width="7" style="7" customWidth="1"/>
    <col min="712" max="712" width="13.33203125" style="7" customWidth="1"/>
    <col min="713" max="713" width="10" style="7" customWidth="1"/>
    <col min="714" max="714" width="11.44140625" style="7" customWidth="1"/>
    <col min="715" max="715" width="11.5546875" style="7" customWidth="1"/>
    <col min="716" max="716" width="9.109375" style="7" customWidth="1"/>
    <col min="717" max="718" width="9.44140625" style="7" customWidth="1"/>
    <col min="719" max="719" width="0" style="7" hidden="1" customWidth="1"/>
    <col min="720" max="721" width="9.5546875" style="7" customWidth="1"/>
    <col min="722" max="722" width="10.33203125" style="7" customWidth="1"/>
    <col min="723" max="723" width="3.109375" style="7" customWidth="1"/>
    <col min="724" max="728" width="0" style="7" hidden="1" customWidth="1"/>
    <col min="729" max="729" width="10.88671875" style="7"/>
    <col min="730" max="731" width="7.109375" style="7" customWidth="1"/>
    <col min="732" max="963" width="10.88671875" style="7"/>
    <col min="964" max="964" width="3.5546875" style="7" customWidth="1"/>
    <col min="965" max="966" width="9" style="7" customWidth="1"/>
    <col min="967" max="967" width="7" style="7" customWidth="1"/>
    <col min="968" max="968" width="13.33203125" style="7" customWidth="1"/>
    <col min="969" max="969" width="10" style="7" customWidth="1"/>
    <col min="970" max="970" width="11.44140625" style="7" customWidth="1"/>
    <col min="971" max="971" width="11.5546875" style="7" customWidth="1"/>
    <col min="972" max="972" width="9.109375" style="7" customWidth="1"/>
    <col min="973" max="974" width="9.44140625" style="7" customWidth="1"/>
    <col min="975" max="975" width="0" style="7" hidden="1" customWidth="1"/>
    <col min="976" max="977" width="9.5546875" style="7" customWidth="1"/>
    <col min="978" max="978" width="10.33203125" style="7" customWidth="1"/>
    <col min="979" max="979" width="3.109375" style="7" customWidth="1"/>
    <col min="980" max="984" width="0" style="7" hidden="1" customWidth="1"/>
    <col min="985" max="985" width="10.88671875" style="7"/>
    <col min="986" max="987" width="7.109375" style="7" customWidth="1"/>
    <col min="988" max="1219" width="10.88671875" style="7"/>
    <col min="1220" max="1220" width="3.5546875" style="7" customWidth="1"/>
    <col min="1221" max="1222" width="9" style="7" customWidth="1"/>
    <col min="1223" max="1223" width="7" style="7" customWidth="1"/>
    <col min="1224" max="1224" width="13.33203125" style="7" customWidth="1"/>
    <col min="1225" max="1225" width="10" style="7" customWidth="1"/>
    <col min="1226" max="1226" width="11.44140625" style="7" customWidth="1"/>
    <col min="1227" max="1227" width="11.5546875" style="7" customWidth="1"/>
    <col min="1228" max="1228" width="9.109375" style="7" customWidth="1"/>
    <col min="1229" max="1230" width="9.44140625" style="7" customWidth="1"/>
    <col min="1231" max="1231" width="0" style="7" hidden="1" customWidth="1"/>
    <col min="1232" max="1233" width="9.5546875" style="7" customWidth="1"/>
    <col min="1234" max="1234" width="10.33203125" style="7" customWidth="1"/>
    <col min="1235" max="1235" width="3.109375" style="7" customWidth="1"/>
    <col min="1236" max="1240" width="0" style="7" hidden="1" customWidth="1"/>
    <col min="1241" max="1241" width="10.88671875" style="7"/>
    <col min="1242" max="1243" width="7.109375" style="7" customWidth="1"/>
    <col min="1244" max="1475" width="10.88671875" style="7"/>
    <col min="1476" max="1476" width="3.5546875" style="7" customWidth="1"/>
    <col min="1477" max="1478" width="9" style="7" customWidth="1"/>
    <col min="1479" max="1479" width="7" style="7" customWidth="1"/>
    <col min="1480" max="1480" width="13.33203125" style="7" customWidth="1"/>
    <col min="1481" max="1481" width="10" style="7" customWidth="1"/>
    <col min="1482" max="1482" width="11.44140625" style="7" customWidth="1"/>
    <col min="1483" max="1483" width="11.5546875" style="7" customWidth="1"/>
    <col min="1484" max="1484" width="9.109375" style="7" customWidth="1"/>
    <col min="1485" max="1486" width="9.44140625" style="7" customWidth="1"/>
    <col min="1487" max="1487" width="0" style="7" hidden="1" customWidth="1"/>
    <col min="1488" max="1489" width="9.5546875" style="7" customWidth="1"/>
    <col min="1490" max="1490" width="10.33203125" style="7" customWidth="1"/>
    <col min="1491" max="1491" width="3.109375" style="7" customWidth="1"/>
    <col min="1492" max="1496" width="0" style="7" hidden="1" customWidth="1"/>
    <col min="1497" max="1497" width="10.88671875" style="7"/>
    <col min="1498" max="1499" width="7.109375" style="7" customWidth="1"/>
    <col min="1500" max="1731" width="10.88671875" style="7"/>
    <col min="1732" max="1732" width="3.5546875" style="7" customWidth="1"/>
    <col min="1733" max="1734" width="9" style="7" customWidth="1"/>
    <col min="1735" max="1735" width="7" style="7" customWidth="1"/>
    <col min="1736" max="1736" width="13.33203125" style="7" customWidth="1"/>
    <col min="1737" max="1737" width="10" style="7" customWidth="1"/>
    <col min="1738" max="1738" width="11.44140625" style="7" customWidth="1"/>
    <col min="1739" max="1739" width="11.5546875" style="7" customWidth="1"/>
    <col min="1740" max="1740" width="9.109375" style="7" customWidth="1"/>
    <col min="1741" max="1742" width="9.44140625" style="7" customWidth="1"/>
    <col min="1743" max="1743" width="0" style="7" hidden="1" customWidth="1"/>
    <col min="1744" max="1745" width="9.5546875" style="7" customWidth="1"/>
    <col min="1746" max="1746" width="10.33203125" style="7" customWidth="1"/>
    <col min="1747" max="1747" width="3.109375" style="7" customWidth="1"/>
    <col min="1748" max="1752" width="0" style="7" hidden="1" customWidth="1"/>
    <col min="1753" max="1753" width="10.88671875" style="7"/>
    <col min="1754" max="1755" width="7.109375" style="7" customWidth="1"/>
    <col min="1756" max="1987" width="10.88671875" style="7"/>
    <col min="1988" max="1988" width="3.5546875" style="7" customWidth="1"/>
    <col min="1989" max="1990" width="9" style="7" customWidth="1"/>
    <col min="1991" max="1991" width="7" style="7" customWidth="1"/>
    <col min="1992" max="1992" width="13.33203125" style="7" customWidth="1"/>
    <col min="1993" max="1993" width="10" style="7" customWidth="1"/>
    <col min="1994" max="1994" width="11.44140625" style="7" customWidth="1"/>
    <col min="1995" max="1995" width="11.5546875" style="7" customWidth="1"/>
    <col min="1996" max="1996" width="9.109375" style="7" customWidth="1"/>
    <col min="1997" max="1998" width="9.44140625" style="7" customWidth="1"/>
    <col min="1999" max="1999" width="0" style="7" hidden="1" customWidth="1"/>
    <col min="2000" max="2001" width="9.5546875" style="7" customWidth="1"/>
    <col min="2002" max="2002" width="10.33203125" style="7" customWidth="1"/>
    <col min="2003" max="2003" width="3.109375" style="7" customWidth="1"/>
    <col min="2004" max="2008" width="0" style="7" hidden="1" customWidth="1"/>
    <col min="2009" max="2009" width="10.88671875" style="7"/>
    <col min="2010" max="2011" width="7.109375" style="7" customWidth="1"/>
    <col min="2012" max="2243" width="10.88671875" style="7"/>
    <col min="2244" max="2244" width="3.5546875" style="7" customWidth="1"/>
    <col min="2245" max="2246" width="9" style="7" customWidth="1"/>
    <col min="2247" max="2247" width="7" style="7" customWidth="1"/>
    <col min="2248" max="2248" width="13.33203125" style="7" customWidth="1"/>
    <col min="2249" max="2249" width="10" style="7" customWidth="1"/>
    <col min="2250" max="2250" width="11.44140625" style="7" customWidth="1"/>
    <col min="2251" max="2251" width="11.5546875" style="7" customWidth="1"/>
    <col min="2252" max="2252" width="9.109375" style="7" customWidth="1"/>
    <col min="2253" max="2254" width="9.44140625" style="7" customWidth="1"/>
    <col min="2255" max="2255" width="0" style="7" hidden="1" customWidth="1"/>
    <col min="2256" max="2257" width="9.5546875" style="7" customWidth="1"/>
    <col min="2258" max="2258" width="10.33203125" style="7" customWidth="1"/>
    <col min="2259" max="2259" width="3.109375" style="7" customWidth="1"/>
    <col min="2260" max="2264" width="0" style="7" hidden="1" customWidth="1"/>
    <col min="2265" max="2265" width="10.88671875" style="7"/>
    <col min="2266" max="2267" width="7.109375" style="7" customWidth="1"/>
    <col min="2268" max="2499" width="10.88671875" style="7"/>
    <col min="2500" max="2500" width="3.5546875" style="7" customWidth="1"/>
    <col min="2501" max="2502" width="9" style="7" customWidth="1"/>
    <col min="2503" max="2503" width="7" style="7" customWidth="1"/>
    <col min="2504" max="2504" width="13.33203125" style="7" customWidth="1"/>
    <col min="2505" max="2505" width="10" style="7" customWidth="1"/>
    <col min="2506" max="2506" width="11.44140625" style="7" customWidth="1"/>
    <col min="2507" max="2507" width="11.5546875" style="7" customWidth="1"/>
    <col min="2508" max="2508" width="9.109375" style="7" customWidth="1"/>
    <col min="2509" max="2510" width="9.44140625" style="7" customWidth="1"/>
    <col min="2511" max="2511" width="0" style="7" hidden="1" customWidth="1"/>
    <col min="2512" max="2513" width="9.5546875" style="7" customWidth="1"/>
    <col min="2514" max="2514" width="10.33203125" style="7" customWidth="1"/>
    <col min="2515" max="2515" width="3.109375" style="7" customWidth="1"/>
    <col min="2516" max="2520" width="0" style="7" hidden="1" customWidth="1"/>
    <col min="2521" max="2521" width="10.88671875" style="7"/>
    <col min="2522" max="2523" width="7.109375" style="7" customWidth="1"/>
    <col min="2524" max="2755" width="10.88671875" style="7"/>
    <col min="2756" max="2756" width="3.5546875" style="7" customWidth="1"/>
    <col min="2757" max="2758" width="9" style="7" customWidth="1"/>
    <col min="2759" max="2759" width="7" style="7" customWidth="1"/>
    <col min="2760" max="2760" width="13.33203125" style="7" customWidth="1"/>
    <col min="2761" max="2761" width="10" style="7" customWidth="1"/>
    <col min="2762" max="2762" width="11.44140625" style="7" customWidth="1"/>
    <col min="2763" max="2763" width="11.5546875" style="7" customWidth="1"/>
    <col min="2764" max="2764" width="9.109375" style="7" customWidth="1"/>
    <col min="2765" max="2766" width="9.44140625" style="7" customWidth="1"/>
    <col min="2767" max="2767" width="0" style="7" hidden="1" customWidth="1"/>
    <col min="2768" max="2769" width="9.5546875" style="7" customWidth="1"/>
    <col min="2770" max="2770" width="10.33203125" style="7" customWidth="1"/>
    <col min="2771" max="2771" width="3.109375" style="7" customWidth="1"/>
    <col min="2772" max="2776" width="0" style="7" hidden="1" customWidth="1"/>
    <col min="2777" max="2777" width="10.88671875" style="7"/>
    <col min="2778" max="2779" width="7.109375" style="7" customWidth="1"/>
    <col min="2780" max="3011" width="10.88671875" style="7"/>
    <col min="3012" max="3012" width="3.5546875" style="7" customWidth="1"/>
    <col min="3013" max="3014" width="9" style="7" customWidth="1"/>
    <col min="3015" max="3015" width="7" style="7" customWidth="1"/>
    <col min="3016" max="3016" width="13.33203125" style="7" customWidth="1"/>
    <col min="3017" max="3017" width="10" style="7" customWidth="1"/>
    <col min="3018" max="3018" width="11.44140625" style="7" customWidth="1"/>
    <col min="3019" max="3019" width="11.5546875" style="7" customWidth="1"/>
    <col min="3020" max="3020" width="9.109375" style="7" customWidth="1"/>
    <col min="3021" max="3022" width="9.44140625" style="7" customWidth="1"/>
    <col min="3023" max="3023" width="0" style="7" hidden="1" customWidth="1"/>
    <col min="3024" max="3025" width="9.5546875" style="7" customWidth="1"/>
    <col min="3026" max="3026" width="10.33203125" style="7" customWidth="1"/>
    <col min="3027" max="3027" width="3.109375" style="7" customWidth="1"/>
    <col min="3028" max="3032" width="0" style="7" hidden="1" customWidth="1"/>
    <col min="3033" max="3033" width="10.88671875" style="7"/>
    <col min="3034" max="3035" width="7.109375" style="7" customWidth="1"/>
    <col min="3036" max="3267" width="10.88671875" style="7"/>
    <col min="3268" max="3268" width="3.5546875" style="7" customWidth="1"/>
    <col min="3269" max="3270" width="9" style="7" customWidth="1"/>
    <col min="3271" max="3271" width="7" style="7" customWidth="1"/>
    <col min="3272" max="3272" width="13.33203125" style="7" customWidth="1"/>
    <col min="3273" max="3273" width="10" style="7" customWidth="1"/>
    <col min="3274" max="3274" width="11.44140625" style="7" customWidth="1"/>
    <col min="3275" max="3275" width="11.5546875" style="7" customWidth="1"/>
    <col min="3276" max="3276" width="9.109375" style="7" customWidth="1"/>
    <col min="3277" max="3278" width="9.44140625" style="7" customWidth="1"/>
    <col min="3279" max="3279" width="0" style="7" hidden="1" customWidth="1"/>
    <col min="3280" max="3281" width="9.5546875" style="7" customWidth="1"/>
    <col min="3282" max="3282" width="10.33203125" style="7" customWidth="1"/>
    <col min="3283" max="3283" width="3.109375" style="7" customWidth="1"/>
    <col min="3284" max="3288" width="0" style="7" hidden="1" customWidth="1"/>
    <col min="3289" max="3289" width="10.88671875" style="7"/>
    <col min="3290" max="3291" width="7.109375" style="7" customWidth="1"/>
    <col min="3292" max="3523" width="10.88671875" style="7"/>
    <col min="3524" max="3524" width="3.5546875" style="7" customWidth="1"/>
    <col min="3525" max="3526" width="9" style="7" customWidth="1"/>
    <col min="3527" max="3527" width="7" style="7" customWidth="1"/>
    <col min="3528" max="3528" width="13.33203125" style="7" customWidth="1"/>
    <col min="3529" max="3529" width="10" style="7" customWidth="1"/>
    <col min="3530" max="3530" width="11.44140625" style="7" customWidth="1"/>
    <col min="3531" max="3531" width="11.5546875" style="7" customWidth="1"/>
    <col min="3532" max="3532" width="9.109375" style="7" customWidth="1"/>
    <col min="3533" max="3534" width="9.44140625" style="7" customWidth="1"/>
    <col min="3535" max="3535" width="0" style="7" hidden="1" customWidth="1"/>
    <col min="3536" max="3537" width="9.5546875" style="7" customWidth="1"/>
    <col min="3538" max="3538" width="10.33203125" style="7" customWidth="1"/>
    <col min="3539" max="3539" width="3.109375" style="7" customWidth="1"/>
    <col min="3540" max="3544" width="0" style="7" hidden="1" customWidth="1"/>
    <col min="3545" max="3545" width="10.88671875" style="7"/>
    <col min="3546" max="3547" width="7.109375" style="7" customWidth="1"/>
    <col min="3548" max="3779" width="10.88671875" style="7"/>
    <col min="3780" max="3780" width="3.5546875" style="7" customWidth="1"/>
    <col min="3781" max="3782" width="9" style="7" customWidth="1"/>
    <col min="3783" max="3783" width="7" style="7" customWidth="1"/>
    <col min="3784" max="3784" width="13.33203125" style="7" customWidth="1"/>
    <col min="3785" max="3785" width="10" style="7" customWidth="1"/>
    <col min="3786" max="3786" width="11.44140625" style="7" customWidth="1"/>
    <col min="3787" max="3787" width="11.5546875" style="7" customWidth="1"/>
    <col min="3788" max="3788" width="9.109375" style="7" customWidth="1"/>
    <col min="3789" max="3790" width="9.44140625" style="7" customWidth="1"/>
    <col min="3791" max="3791" width="0" style="7" hidden="1" customWidth="1"/>
    <col min="3792" max="3793" width="9.5546875" style="7" customWidth="1"/>
    <col min="3794" max="3794" width="10.33203125" style="7" customWidth="1"/>
    <col min="3795" max="3795" width="3.109375" style="7" customWidth="1"/>
    <col min="3796" max="3800" width="0" style="7" hidden="1" customWidth="1"/>
    <col min="3801" max="3801" width="10.88671875" style="7"/>
    <col min="3802" max="3803" width="7.109375" style="7" customWidth="1"/>
    <col min="3804" max="4035" width="10.88671875" style="7"/>
    <col min="4036" max="4036" width="3.5546875" style="7" customWidth="1"/>
    <col min="4037" max="4038" width="9" style="7" customWidth="1"/>
    <col min="4039" max="4039" width="7" style="7" customWidth="1"/>
    <col min="4040" max="4040" width="13.33203125" style="7" customWidth="1"/>
    <col min="4041" max="4041" width="10" style="7" customWidth="1"/>
    <col min="4042" max="4042" width="11.44140625" style="7" customWidth="1"/>
    <col min="4043" max="4043" width="11.5546875" style="7" customWidth="1"/>
    <col min="4044" max="4044" width="9.109375" style="7" customWidth="1"/>
    <col min="4045" max="4046" width="9.44140625" style="7" customWidth="1"/>
    <col min="4047" max="4047" width="0" style="7" hidden="1" customWidth="1"/>
    <col min="4048" max="4049" width="9.5546875" style="7" customWidth="1"/>
    <col min="4050" max="4050" width="10.33203125" style="7" customWidth="1"/>
    <col min="4051" max="4051" width="3.109375" style="7" customWidth="1"/>
    <col min="4052" max="4056" width="0" style="7" hidden="1" customWidth="1"/>
    <col min="4057" max="4057" width="10.88671875" style="7"/>
    <col min="4058" max="4059" width="7.109375" style="7" customWidth="1"/>
    <col min="4060" max="4291" width="10.88671875" style="7"/>
    <col min="4292" max="4292" width="3.5546875" style="7" customWidth="1"/>
    <col min="4293" max="4294" width="9" style="7" customWidth="1"/>
    <col min="4295" max="4295" width="7" style="7" customWidth="1"/>
    <col min="4296" max="4296" width="13.33203125" style="7" customWidth="1"/>
    <col min="4297" max="4297" width="10" style="7" customWidth="1"/>
    <col min="4298" max="4298" width="11.44140625" style="7" customWidth="1"/>
    <col min="4299" max="4299" width="11.5546875" style="7" customWidth="1"/>
    <col min="4300" max="4300" width="9.109375" style="7" customWidth="1"/>
    <col min="4301" max="4302" width="9.44140625" style="7" customWidth="1"/>
    <col min="4303" max="4303" width="0" style="7" hidden="1" customWidth="1"/>
    <col min="4304" max="4305" width="9.5546875" style="7" customWidth="1"/>
    <col min="4306" max="4306" width="10.33203125" style="7" customWidth="1"/>
    <col min="4307" max="4307" width="3.109375" style="7" customWidth="1"/>
    <col min="4308" max="4312" width="0" style="7" hidden="1" customWidth="1"/>
    <col min="4313" max="4313" width="10.88671875" style="7"/>
    <col min="4314" max="4315" width="7.109375" style="7" customWidth="1"/>
    <col min="4316" max="4547" width="10.88671875" style="7"/>
    <col min="4548" max="4548" width="3.5546875" style="7" customWidth="1"/>
    <col min="4549" max="4550" width="9" style="7" customWidth="1"/>
    <col min="4551" max="4551" width="7" style="7" customWidth="1"/>
    <col min="4552" max="4552" width="13.33203125" style="7" customWidth="1"/>
    <col min="4553" max="4553" width="10" style="7" customWidth="1"/>
    <col min="4554" max="4554" width="11.44140625" style="7" customWidth="1"/>
    <col min="4555" max="4555" width="11.5546875" style="7" customWidth="1"/>
    <col min="4556" max="4556" width="9.109375" style="7" customWidth="1"/>
    <col min="4557" max="4558" width="9.44140625" style="7" customWidth="1"/>
    <col min="4559" max="4559" width="0" style="7" hidden="1" customWidth="1"/>
    <col min="4560" max="4561" width="9.5546875" style="7" customWidth="1"/>
    <col min="4562" max="4562" width="10.33203125" style="7" customWidth="1"/>
    <col min="4563" max="4563" width="3.109375" style="7" customWidth="1"/>
    <col min="4564" max="4568" width="0" style="7" hidden="1" customWidth="1"/>
    <col min="4569" max="4569" width="10.88671875" style="7"/>
    <col min="4570" max="4571" width="7.109375" style="7" customWidth="1"/>
    <col min="4572" max="4803" width="10.88671875" style="7"/>
    <col min="4804" max="4804" width="3.5546875" style="7" customWidth="1"/>
    <col min="4805" max="4806" width="9" style="7" customWidth="1"/>
    <col min="4807" max="4807" width="7" style="7" customWidth="1"/>
    <col min="4808" max="4808" width="13.33203125" style="7" customWidth="1"/>
    <col min="4809" max="4809" width="10" style="7" customWidth="1"/>
    <col min="4810" max="4810" width="11.44140625" style="7" customWidth="1"/>
    <col min="4811" max="4811" width="11.5546875" style="7" customWidth="1"/>
    <col min="4812" max="4812" width="9.109375" style="7" customWidth="1"/>
    <col min="4813" max="4814" width="9.44140625" style="7" customWidth="1"/>
    <col min="4815" max="4815" width="0" style="7" hidden="1" customWidth="1"/>
    <col min="4816" max="4817" width="9.5546875" style="7" customWidth="1"/>
    <col min="4818" max="4818" width="10.33203125" style="7" customWidth="1"/>
    <col min="4819" max="4819" width="3.109375" style="7" customWidth="1"/>
    <col min="4820" max="4824" width="0" style="7" hidden="1" customWidth="1"/>
    <col min="4825" max="4825" width="10.88671875" style="7"/>
    <col min="4826" max="4827" width="7.109375" style="7" customWidth="1"/>
    <col min="4828" max="5059" width="10.88671875" style="7"/>
    <col min="5060" max="5060" width="3.5546875" style="7" customWidth="1"/>
    <col min="5061" max="5062" width="9" style="7" customWidth="1"/>
    <col min="5063" max="5063" width="7" style="7" customWidth="1"/>
    <col min="5064" max="5064" width="13.33203125" style="7" customWidth="1"/>
    <col min="5065" max="5065" width="10" style="7" customWidth="1"/>
    <col min="5066" max="5066" width="11.44140625" style="7" customWidth="1"/>
    <col min="5067" max="5067" width="11.5546875" style="7" customWidth="1"/>
    <col min="5068" max="5068" width="9.109375" style="7" customWidth="1"/>
    <col min="5069" max="5070" width="9.44140625" style="7" customWidth="1"/>
    <col min="5071" max="5071" width="0" style="7" hidden="1" customWidth="1"/>
    <col min="5072" max="5073" width="9.5546875" style="7" customWidth="1"/>
    <col min="5074" max="5074" width="10.33203125" style="7" customWidth="1"/>
    <col min="5075" max="5075" width="3.109375" style="7" customWidth="1"/>
    <col min="5076" max="5080" width="0" style="7" hidden="1" customWidth="1"/>
    <col min="5081" max="5081" width="10.88671875" style="7"/>
    <col min="5082" max="5083" width="7.109375" style="7" customWidth="1"/>
    <col min="5084" max="5315" width="10.88671875" style="7"/>
    <col min="5316" max="5316" width="3.5546875" style="7" customWidth="1"/>
    <col min="5317" max="5318" width="9" style="7" customWidth="1"/>
    <col min="5319" max="5319" width="7" style="7" customWidth="1"/>
    <col min="5320" max="5320" width="13.33203125" style="7" customWidth="1"/>
    <col min="5321" max="5321" width="10" style="7" customWidth="1"/>
    <col min="5322" max="5322" width="11.44140625" style="7" customWidth="1"/>
    <col min="5323" max="5323" width="11.5546875" style="7" customWidth="1"/>
    <col min="5324" max="5324" width="9.109375" style="7" customWidth="1"/>
    <col min="5325" max="5326" width="9.44140625" style="7" customWidth="1"/>
    <col min="5327" max="5327" width="0" style="7" hidden="1" customWidth="1"/>
    <col min="5328" max="5329" width="9.5546875" style="7" customWidth="1"/>
    <col min="5330" max="5330" width="10.33203125" style="7" customWidth="1"/>
    <col min="5331" max="5331" width="3.109375" style="7" customWidth="1"/>
    <col min="5332" max="5336" width="0" style="7" hidden="1" customWidth="1"/>
    <col min="5337" max="5337" width="10.88671875" style="7"/>
    <col min="5338" max="5339" width="7.109375" style="7" customWidth="1"/>
    <col min="5340" max="5571" width="10.88671875" style="7"/>
    <col min="5572" max="5572" width="3.5546875" style="7" customWidth="1"/>
    <col min="5573" max="5574" width="9" style="7" customWidth="1"/>
    <col min="5575" max="5575" width="7" style="7" customWidth="1"/>
    <col min="5576" max="5576" width="13.33203125" style="7" customWidth="1"/>
    <col min="5577" max="5577" width="10" style="7" customWidth="1"/>
    <col min="5578" max="5578" width="11.44140625" style="7" customWidth="1"/>
    <col min="5579" max="5579" width="11.5546875" style="7" customWidth="1"/>
    <col min="5580" max="5580" width="9.109375" style="7" customWidth="1"/>
    <col min="5581" max="5582" width="9.44140625" style="7" customWidth="1"/>
    <col min="5583" max="5583" width="0" style="7" hidden="1" customWidth="1"/>
    <col min="5584" max="5585" width="9.5546875" style="7" customWidth="1"/>
    <col min="5586" max="5586" width="10.33203125" style="7" customWidth="1"/>
    <col min="5587" max="5587" width="3.109375" style="7" customWidth="1"/>
    <col min="5588" max="5592" width="0" style="7" hidden="1" customWidth="1"/>
    <col min="5593" max="5593" width="10.88671875" style="7"/>
    <col min="5594" max="5595" width="7.109375" style="7" customWidth="1"/>
    <col min="5596" max="5827" width="10.88671875" style="7"/>
    <col min="5828" max="5828" width="3.5546875" style="7" customWidth="1"/>
    <col min="5829" max="5830" width="9" style="7" customWidth="1"/>
    <col min="5831" max="5831" width="7" style="7" customWidth="1"/>
    <col min="5832" max="5832" width="13.33203125" style="7" customWidth="1"/>
    <col min="5833" max="5833" width="10" style="7" customWidth="1"/>
    <col min="5834" max="5834" width="11.44140625" style="7" customWidth="1"/>
    <col min="5835" max="5835" width="11.5546875" style="7" customWidth="1"/>
    <col min="5836" max="5836" width="9.109375" style="7" customWidth="1"/>
    <col min="5837" max="5838" width="9.44140625" style="7" customWidth="1"/>
    <col min="5839" max="5839" width="0" style="7" hidden="1" customWidth="1"/>
    <col min="5840" max="5841" width="9.5546875" style="7" customWidth="1"/>
    <col min="5842" max="5842" width="10.33203125" style="7" customWidth="1"/>
    <col min="5843" max="5843" width="3.109375" style="7" customWidth="1"/>
    <col min="5844" max="5848" width="0" style="7" hidden="1" customWidth="1"/>
    <col min="5849" max="5849" width="10.88671875" style="7"/>
    <col min="5850" max="5851" width="7.109375" style="7" customWidth="1"/>
    <col min="5852" max="6083" width="10.88671875" style="7"/>
    <col min="6084" max="6084" width="3.5546875" style="7" customWidth="1"/>
    <col min="6085" max="6086" width="9" style="7" customWidth="1"/>
    <col min="6087" max="6087" width="7" style="7" customWidth="1"/>
    <col min="6088" max="6088" width="13.33203125" style="7" customWidth="1"/>
    <col min="6089" max="6089" width="10" style="7" customWidth="1"/>
    <col min="6090" max="6090" width="11.44140625" style="7" customWidth="1"/>
    <col min="6091" max="6091" width="11.5546875" style="7" customWidth="1"/>
    <col min="6092" max="6092" width="9.109375" style="7" customWidth="1"/>
    <col min="6093" max="6094" width="9.44140625" style="7" customWidth="1"/>
    <col min="6095" max="6095" width="0" style="7" hidden="1" customWidth="1"/>
    <col min="6096" max="6097" width="9.5546875" style="7" customWidth="1"/>
    <col min="6098" max="6098" width="10.33203125" style="7" customWidth="1"/>
    <col min="6099" max="6099" width="3.109375" style="7" customWidth="1"/>
    <col min="6100" max="6104" width="0" style="7" hidden="1" customWidth="1"/>
    <col min="6105" max="6105" width="10.88671875" style="7"/>
    <col min="6106" max="6107" width="7.109375" style="7" customWidth="1"/>
    <col min="6108" max="6339" width="10.88671875" style="7"/>
    <col min="6340" max="6340" width="3.5546875" style="7" customWidth="1"/>
    <col min="6341" max="6342" width="9" style="7" customWidth="1"/>
    <col min="6343" max="6343" width="7" style="7" customWidth="1"/>
    <col min="6344" max="6344" width="13.33203125" style="7" customWidth="1"/>
    <col min="6345" max="6345" width="10" style="7" customWidth="1"/>
    <col min="6346" max="6346" width="11.44140625" style="7" customWidth="1"/>
    <col min="6347" max="6347" width="11.5546875" style="7" customWidth="1"/>
    <col min="6348" max="6348" width="9.109375" style="7" customWidth="1"/>
    <col min="6349" max="6350" width="9.44140625" style="7" customWidth="1"/>
    <col min="6351" max="6351" width="0" style="7" hidden="1" customWidth="1"/>
    <col min="6352" max="6353" width="9.5546875" style="7" customWidth="1"/>
    <col min="6354" max="6354" width="10.33203125" style="7" customWidth="1"/>
    <col min="6355" max="6355" width="3.109375" style="7" customWidth="1"/>
    <col min="6356" max="6360" width="0" style="7" hidden="1" customWidth="1"/>
    <col min="6361" max="6361" width="10.88671875" style="7"/>
    <col min="6362" max="6363" width="7.109375" style="7" customWidth="1"/>
    <col min="6364" max="6595" width="10.88671875" style="7"/>
    <col min="6596" max="6596" width="3.5546875" style="7" customWidth="1"/>
    <col min="6597" max="6598" width="9" style="7" customWidth="1"/>
    <col min="6599" max="6599" width="7" style="7" customWidth="1"/>
    <col min="6600" max="6600" width="13.33203125" style="7" customWidth="1"/>
    <col min="6601" max="6601" width="10" style="7" customWidth="1"/>
    <col min="6602" max="6602" width="11.44140625" style="7" customWidth="1"/>
    <col min="6603" max="6603" width="11.5546875" style="7" customWidth="1"/>
    <col min="6604" max="6604" width="9.109375" style="7" customWidth="1"/>
    <col min="6605" max="6606" width="9.44140625" style="7" customWidth="1"/>
    <col min="6607" max="6607" width="0" style="7" hidden="1" customWidth="1"/>
    <col min="6608" max="6609" width="9.5546875" style="7" customWidth="1"/>
    <col min="6610" max="6610" width="10.33203125" style="7" customWidth="1"/>
    <col min="6611" max="6611" width="3.109375" style="7" customWidth="1"/>
    <col min="6612" max="6616" width="0" style="7" hidden="1" customWidth="1"/>
    <col min="6617" max="6617" width="10.88671875" style="7"/>
    <col min="6618" max="6619" width="7.109375" style="7" customWidth="1"/>
    <col min="6620" max="6851" width="10.88671875" style="7"/>
    <col min="6852" max="6852" width="3.5546875" style="7" customWidth="1"/>
    <col min="6853" max="6854" width="9" style="7" customWidth="1"/>
    <col min="6855" max="6855" width="7" style="7" customWidth="1"/>
    <col min="6856" max="6856" width="13.33203125" style="7" customWidth="1"/>
    <col min="6857" max="6857" width="10" style="7" customWidth="1"/>
    <col min="6858" max="6858" width="11.44140625" style="7" customWidth="1"/>
    <col min="6859" max="6859" width="11.5546875" style="7" customWidth="1"/>
    <col min="6860" max="6860" width="9.109375" style="7" customWidth="1"/>
    <col min="6861" max="6862" width="9.44140625" style="7" customWidth="1"/>
    <col min="6863" max="6863" width="0" style="7" hidden="1" customWidth="1"/>
    <col min="6864" max="6865" width="9.5546875" style="7" customWidth="1"/>
    <col min="6866" max="6866" width="10.33203125" style="7" customWidth="1"/>
    <col min="6867" max="6867" width="3.109375" style="7" customWidth="1"/>
    <col min="6868" max="6872" width="0" style="7" hidden="1" customWidth="1"/>
    <col min="6873" max="6873" width="10.88671875" style="7"/>
    <col min="6874" max="6875" width="7.109375" style="7" customWidth="1"/>
    <col min="6876" max="7107" width="10.88671875" style="7"/>
    <col min="7108" max="7108" width="3.5546875" style="7" customWidth="1"/>
    <col min="7109" max="7110" width="9" style="7" customWidth="1"/>
    <col min="7111" max="7111" width="7" style="7" customWidth="1"/>
    <col min="7112" max="7112" width="13.33203125" style="7" customWidth="1"/>
    <col min="7113" max="7113" width="10" style="7" customWidth="1"/>
    <col min="7114" max="7114" width="11.44140625" style="7" customWidth="1"/>
    <col min="7115" max="7115" width="11.5546875" style="7" customWidth="1"/>
    <col min="7116" max="7116" width="9.109375" style="7" customWidth="1"/>
    <col min="7117" max="7118" width="9.44140625" style="7" customWidth="1"/>
    <col min="7119" max="7119" width="0" style="7" hidden="1" customWidth="1"/>
    <col min="7120" max="7121" width="9.5546875" style="7" customWidth="1"/>
    <col min="7122" max="7122" width="10.33203125" style="7" customWidth="1"/>
    <col min="7123" max="7123" width="3.109375" style="7" customWidth="1"/>
    <col min="7124" max="7128" width="0" style="7" hidden="1" customWidth="1"/>
    <col min="7129" max="7129" width="10.88671875" style="7"/>
    <col min="7130" max="7131" width="7.109375" style="7" customWidth="1"/>
    <col min="7132" max="7363" width="10.88671875" style="7"/>
    <col min="7364" max="7364" width="3.5546875" style="7" customWidth="1"/>
    <col min="7365" max="7366" width="9" style="7" customWidth="1"/>
    <col min="7367" max="7367" width="7" style="7" customWidth="1"/>
    <col min="7368" max="7368" width="13.33203125" style="7" customWidth="1"/>
    <col min="7369" max="7369" width="10" style="7" customWidth="1"/>
    <col min="7370" max="7370" width="11.44140625" style="7" customWidth="1"/>
    <col min="7371" max="7371" width="11.5546875" style="7" customWidth="1"/>
    <col min="7372" max="7372" width="9.109375" style="7" customWidth="1"/>
    <col min="7373" max="7374" width="9.44140625" style="7" customWidth="1"/>
    <col min="7375" max="7375" width="0" style="7" hidden="1" customWidth="1"/>
    <col min="7376" max="7377" width="9.5546875" style="7" customWidth="1"/>
    <col min="7378" max="7378" width="10.33203125" style="7" customWidth="1"/>
    <col min="7379" max="7379" width="3.109375" style="7" customWidth="1"/>
    <col min="7380" max="7384" width="0" style="7" hidden="1" customWidth="1"/>
    <col min="7385" max="7385" width="10.88671875" style="7"/>
    <col min="7386" max="7387" width="7.109375" style="7" customWidth="1"/>
    <col min="7388" max="7619" width="10.88671875" style="7"/>
    <col min="7620" max="7620" width="3.5546875" style="7" customWidth="1"/>
    <col min="7621" max="7622" width="9" style="7" customWidth="1"/>
    <col min="7623" max="7623" width="7" style="7" customWidth="1"/>
    <col min="7624" max="7624" width="13.33203125" style="7" customWidth="1"/>
    <col min="7625" max="7625" width="10" style="7" customWidth="1"/>
    <col min="7626" max="7626" width="11.44140625" style="7" customWidth="1"/>
    <col min="7627" max="7627" width="11.5546875" style="7" customWidth="1"/>
    <col min="7628" max="7628" width="9.109375" style="7" customWidth="1"/>
    <col min="7629" max="7630" width="9.44140625" style="7" customWidth="1"/>
    <col min="7631" max="7631" width="0" style="7" hidden="1" customWidth="1"/>
    <col min="7632" max="7633" width="9.5546875" style="7" customWidth="1"/>
    <col min="7634" max="7634" width="10.33203125" style="7" customWidth="1"/>
    <col min="7635" max="7635" width="3.109375" style="7" customWidth="1"/>
    <col min="7636" max="7640" width="0" style="7" hidden="1" customWidth="1"/>
    <col min="7641" max="7641" width="10.88671875" style="7"/>
    <col min="7642" max="7643" width="7.109375" style="7" customWidth="1"/>
    <col min="7644" max="7875" width="10.88671875" style="7"/>
    <col min="7876" max="7876" width="3.5546875" style="7" customWidth="1"/>
    <col min="7877" max="7878" width="9" style="7" customWidth="1"/>
    <col min="7879" max="7879" width="7" style="7" customWidth="1"/>
    <col min="7880" max="7880" width="13.33203125" style="7" customWidth="1"/>
    <col min="7881" max="7881" width="10" style="7" customWidth="1"/>
    <col min="7882" max="7882" width="11.44140625" style="7" customWidth="1"/>
    <col min="7883" max="7883" width="11.5546875" style="7" customWidth="1"/>
    <col min="7884" max="7884" width="9.109375" style="7" customWidth="1"/>
    <col min="7885" max="7886" width="9.44140625" style="7" customWidth="1"/>
    <col min="7887" max="7887" width="0" style="7" hidden="1" customWidth="1"/>
    <col min="7888" max="7889" width="9.5546875" style="7" customWidth="1"/>
    <col min="7890" max="7890" width="10.33203125" style="7" customWidth="1"/>
    <col min="7891" max="7891" width="3.109375" style="7" customWidth="1"/>
    <col min="7892" max="7896" width="0" style="7" hidden="1" customWidth="1"/>
    <col min="7897" max="7897" width="10.88671875" style="7"/>
    <col min="7898" max="7899" width="7.109375" style="7" customWidth="1"/>
    <col min="7900" max="8131" width="10.88671875" style="7"/>
    <col min="8132" max="8132" width="3.5546875" style="7" customWidth="1"/>
    <col min="8133" max="8134" width="9" style="7" customWidth="1"/>
    <col min="8135" max="8135" width="7" style="7" customWidth="1"/>
    <col min="8136" max="8136" width="13.33203125" style="7" customWidth="1"/>
    <col min="8137" max="8137" width="10" style="7" customWidth="1"/>
    <col min="8138" max="8138" width="11.44140625" style="7" customWidth="1"/>
    <col min="8139" max="8139" width="11.5546875" style="7" customWidth="1"/>
    <col min="8140" max="8140" width="9.109375" style="7" customWidth="1"/>
    <col min="8141" max="8142" width="9.44140625" style="7" customWidth="1"/>
    <col min="8143" max="8143" width="0" style="7" hidden="1" customWidth="1"/>
    <col min="8144" max="8145" width="9.5546875" style="7" customWidth="1"/>
    <col min="8146" max="8146" width="10.33203125" style="7" customWidth="1"/>
    <col min="8147" max="8147" width="3.109375" style="7" customWidth="1"/>
    <col min="8148" max="8152" width="0" style="7" hidden="1" customWidth="1"/>
    <col min="8153" max="8153" width="10.88671875" style="7"/>
    <col min="8154" max="8155" width="7.109375" style="7" customWidth="1"/>
    <col min="8156" max="8387" width="10.88671875" style="7"/>
    <col min="8388" max="8388" width="3.5546875" style="7" customWidth="1"/>
    <col min="8389" max="8390" width="9" style="7" customWidth="1"/>
    <col min="8391" max="8391" width="7" style="7" customWidth="1"/>
    <col min="8392" max="8392" width="13.33203125" style="7" customWidth="1"/>
    <col min="8393" max="8393" width="10" style="7" customWidth="1"/>
    <col min="8394" max="8394" width="11.44140625" style="7" customWidth="1"/>
    <col min="8395" max="8395" width="11.5546875" style="7" customWidth="1"/>
    <col min="8396" max="8396" width="9.109375" style="7" customWidth="1"/>
    <col min="8397" max="8398" width="9.44140625" style="7" customWidth="1"/>
    <col min="8399" max="8399" width="0" style="7" hidden="1" customWidth="1"/>
    <col min="8400" max="8401" width="9.5546875" style="7" customWidth="1"/>
    <col min="8402" max="8402" width="10.33203125" style="7" customWidth="1"/>
    <col min="8403" max="8403" width="3.109375" style="7" customWidth="1"/>
    <col min="8404" max="8408" width="0" style="7" hidden="1" customWidth="1"/>
    <col min="8409" max="8409" width="10.88671875" style="7"/>
    <col min="8410" max="8411" width="7.109375" style="7" customWidth="1"/>
    <col min="8412" max="8643" width="10.88671875" style="7"/>
    <col min="8644" max="8644" width="3.5546875" style="7" customWidth="1"/>
    <col min="8645" max="8646" width="9" style="7" customWidth="1"/>
    <col min="8647" max="8647" width="7" style="7" customWidth="1"/>
    <col min="8648" max="8648" width="13.33203125" style="7" customWidth="1"/>
    <col min="8649" max="8649" width="10" style="7" customWidth="1"/>
    <col min="8650" max="8650" width="11.44140625" style="7" customWidth="1"/>
    <col min="8651" max="8651" width="11.5546875" style="7" customWidth="1"/>
    <col min="8652" max="8652" width="9.109375" style="7" customWidth="1"/>
    <col min="8653" max="8654" width="9.44140625" style="7" customWidth="1"/>
    <col min="8655" max="8655" width="0" style="7" hidden="1" customWidth="1"/>
    <col min="8656" max="8657" width="9.5546875" style="7" customWidth="1"/>
    <col min="8658" max="8658" width="10.33203125" style="7" customWidth="1"/>
    <col min="8659" max="8659" width="3.109375" style="7" customWidth="1"/>
    <col min="8660" max="8664" width="0" style="7" hidden="1" customWidth="1"/>
    <col min="8665" max="8665" width="10.88671875" style="7"/>
    <col min="8666" max="8667" width="7.109375" style="7" customWidth="1"/>
    <col min="8668" max="8899" width="10.88671875" style="7"/>
    <col min="8900" max="8900" width="3.5546875" style="7" customWidth="1"/>
    <col min="8901" max="8902" width="9" style="7" customWidth="1"/>
    <col min="8903" max="8903" width="7" style="7" customWidth="1"/>
    <col min="8904" max="8904" width="13.33203125" style="7" customWidth="1"/>
    <col min="8905" max="8905" width="10" style="7" customWidth="1"/>
    <col min="8906" max="8906" width="11.44140625" style="7" customWidth="1"/>
    <col min="8907" max="8907" width="11.5546875" style="7" customWidth="1"/>
    <col min="8908" max="8908" width="9.109375" style="7" customWidth="1"/>
    <col min="8909" max="8910" width="9.44140625" style="7" customWidth="1"/>
    <col min="8911" max="8911" width="0" style="7" hidden="1" customWidth="1"/>
    <col min="8912" max="8913" width="9.5546875" style="7" customWidth="1"/>
    <col min="8914" max="8914" width="10.33203125" style="7" customWidth="1"/>
    <col min="8915" max="8915" width="3.109375" style="7" customWidth="1"/>
    <col min="8916" max="8920" width="0" style="7" hidden="1" customWidth="1"/>
    <col min="8921" max="8921" width="10.88671875" style="7"/>
    <col min="8922" max="8923" width="7.109375" style="7" customWidth="1"/>
    <col min="8924" max="9155" width="10.88671875" style="7"/>
    <col min="9156" max="9156" width="3.5546875" style="7" customWidth="1"/>
    <col min="9157" max="9158" width="9" style="7" customWidth="1"/>
    <col min="9159" max="9159" width="7" style="7" customWidth="1"/>
    <col min="9160" max="9160" width="13.33203125" style="7" customWidth="1"/>
    <col min="9161" max="9161" width="10" style="7" customWidth="1"/>
    <col min="9162" max="9162" width="11.44140625" style="7" customWidth="1"/>
    <col min="9163" max="9163" width="11.5546875" style="7" customWidth="1"/>
    <col min="9164" max="9164" width="9.109375" style="7" customWidth="1"/>
    <col min="9165" max="9166" width="9.44140625" style="7" customWidth="1"/>
    <col min="9167" max="9167" width="0" style="7" hidden="1" customWidth="1"/>
    <col min="9168" max="9169" width="9.5546875" style="7" customWidth="1"/>
    <col min="9170" max="9170" width="10.33203125" style="7" customWidth="1"/>
    <col min="9171" max="9171" width="3.109375" style="7" customWidth="1"/>
    <col min="9172" max="9176" width="0" style="7" hidden="1" customWidth="1"/>
    <col min="9177" max="9177" width="10.88671875" style="7"/>
    <col min="9178" max="9179" width="7.109375" style="7" customWidth="1"/>
    <col min="9180" max="9411" width="10.88671875" style="7"/>
    <col min="9412" max="9412" width="3.5546875" style="7" customWidth="1"/>
    <col min="9413" max="9414" width="9" style="7" customWidth="1"/>
    <col min="9415" max="9415" width="7" style="7" customWidth="1"/>
    <col min="9416" max="9416" width="13.33203125" style="7" customWidth="1"/>
    <col min="9417" max="9417" width="10" style="7" customWidth="1"/>
    <col min="9418" max="9418" width="11.44140625" style="7" customWidth="1"/>
    <col min="9419" max="9419" width="11.5546875" style="7" customWidth="1"/>
    <col min="9420" max="9420" width="9.109375" style="7" customWidth="1"/>
    <col min="9421" max="9422" width="9.44140625" style="7" customWidth="1"/>
    <col min="9423" max="9423" width="0" style="7" hidden="1" customWidth="1"/>
    <col min="9424" max="9425" width="9.5546875" style="7" customWidth="1"/>
    <col min="9426" max="9426" width="10.33203125" style="7" customWidth="1"/>
    <col min="9427" max="9427" width="3.109375" style="7" customWidth="1"/>
    <col min="9428" max="9432" width="0" style="7" hidden="1" customWidth="1"/>
    <col min="9433" max="9433" width="10.88671875" style="7"/>
    <col min="9434" max="9435" width="7.109375" style="7" customWidth="1"/>
    <col min="9436" max="9667" width="10.88671875" style="7"/>
    <col min="9668" max="9668" width="3.5546875" style="7" customWidth="1"/>
    <col min="9669" max="9670" width="9" style="7" customWidth="1"/>
    <col min="9671" max="9671" width="7" style="7" customWidth="1"/>
    <col min="9672" max="9672" width="13.33203125" style="7" customWidth="1"/>
    <col min="9673" max="9673" width="10" style="7" customWidth="1"/>
    <col min="9674" max="9674" width="11.44140625" style="7" customWidth="1"/>
    <col min="9675" max="9675" width="11.5546875" style="7" customWidth="1"/>
    <col min="9676" max="9676" width="9.109375" style="7" customWidth="1"/>
    <col min="9677" max="9678" width="9.44140625" style="7" customWidth="1"/>
    <col min="9679" max="9679" width="0" style="7" hidden="1" customWidth="1"/>
    <col min="9680" max="9681" width="9.5546875" style="7" customWidth="1"/>
    <col min="9682" max="9682" width="10.33203125" style="7" customWidth="1"/>
    <col min="9683" max="9683" width="3.109375" style="7" customWidth="1"/>
    <col min="9684" max="9688" width="0" style="7" hidden="1" customWidth="1"/>
    <col min="9689" max="9689" width="10.88671875" style="7"/>
    <col min="9690" max="9691" width="7.109375" style="7" customWidth="1"/>
    <col min="9692" max="9923" width="10.88671875" style="7"/>
    <col min="9924" max="9924" width="3.5546875" style="7" customWidth="1"/>
    <col min="9925" max="9926" width="9" style="7" customWidth="1"/>
    <col min="9927" max="9927" width="7" style="7" customWidth="1"/>
    <col min="9928" max="9928" width="13.33203125" style="7" customWidth="1"/>
    <col min="9929" max="9929" width="10" style="7" customWidth="1"/>
    <col min="9930" max="9930" width="11.44140625" style="7" customWidth="1"/>
    <col min="9931" max="9931" width="11.5546875" style="7" customWidth="1"/>
    <col min="9932" max="9932" width="9.109375" style="7" customWidth="1"/>
    <col min="9933" max="9934" width="9.44140625" style="7" customWidth="1"/>
    <col min="9935" max="9935" width="0" style="7" hidden="1" customWidth="1"/>
    <col min="9936" max="9937" width="9.5546875" style="7" customWidth="1"/>
    <col min="9938" max="9938" width="10.33203125" style="7" customWidth="1"/>
    <col min="9939" max="9939" width="3.109375" style="7" customWidth="1"/>
    <col min="9940" max="9944" width="0" style="7" hidden="1" customWidth="1"/>
    <col min="9945" max="9945" width="10.88671875" style="7"/>
    <col min="9946" max="9947" width="7.109375" style="7" customWidth="1"/>
    <col min="9948" max="10179" width="10.88671875" style="7"/>
    <col min="10180" max="10180" width="3.5546875" style="7" customWidth="1"/>
    <col min="10181" max="10182" width="9" style="7" customWidth="1"/>
    <col min="10183" max="10183" width="7" style="7" customWidth="1"/>
    <col min="10184" max="10184" width="13.33203125" style="7" customWidth="1"/>
    <col min="10185" max="10185" width="10" style="7" customWidth="1"/>
    <col min="10186" max="10186" width="11.44140625" style="7" customWidth="1"/>
    <col min="10187" max="10187" width="11.5546875" style="7" customWidth="1"/>
    <col min="10188" max="10188" width="9.109375" style="7" customWidth="1"/>
    <col min="10189" max="10190" width="9.44140625" style="7" customWidth="1"/>
    <col min="10191" max="10191" width="0" style="7" hidden="1" customWidth="1"/>
    <col min="10192" max="10193" width="9.5546875" style="7" customWidth="1"/>
    <col min="10194" max="10194" width="10.33203125" style="7" customWidth="1"/>
    <col min="10195" max="10195" width="3.109375" style="7" customWidth="1"/>
    <col min="10196" max="10200" width="0" style="7" hidden="1" customWidth="1"/>
    <col min="10201" max="10201" width="10.88671875" style="7"/>
    <col min="10202" max="10203" width="7.109375" style="7" customWidth="1"/>
    <col min="10204" max="10435" width="10.88671875" style="7"/>
    <col min="10436" max="10436" width="3.5546875" style="7" customWidth="1"/>
    <col min="10437" max="10438" width="9" style="7" customWidth="1"/>
    <col min="10439" max="10439" width="7" style="7" customWidth="1"/>
    <col min="10440" max="10440" width="13.33203125" style="7" customWidth="1"/>
    <col min="10441" max="10441" width="10" style="7" customWidth="1"/>
    <col min="10442" max="10442" width="11.44140625" style="7" customWidth="1"/>
    <col min="10443" max="10443" width="11.5546875" style="7" customWidth="1"/>
    <col min="10444" max="10444" width="9.109375" style="7" customWidth="1"/>
    <col min="10445" max="10446" width="9.44140625" style="7" customWidth="1"/>
    <col min="10447" max="10447" width="0" style="7" hidden="1" customWidth="1"/>
    <col min="10448" max="10449" width="9.5546875" style="7" customWidth="1"/>
    <col min="10450" max="10450" width="10.33203125" style="7" customWidth="1"/>
    <col min="10451" max="10451" width="3.109375" style="7" customWidth="1"/>
    <col min="10452" max="10456" width="0" style="7" hidden="1" customWidth="1"/>
    <col min="10457" max="10457" width="10.88671875" style="7"/>
    <col min="10458" max="10459" width="7.109375" style="7" customWidth="1"/>
    <col min="10460" max="10691" width="10.88671875" style="7"/>
    <col min="10692" max="10692" width="3.5546875" style="7" customWidth="1"/>
    <col min="10693" max="10694" width="9" style="7" customWidth="1"/>
    <col min="10695" max="10695" width="7" style="7" customWidth="1"/>
    <col min="10696" max="10696" width="13.33203125" style="7" customWidth="1"/>
    <col min="10697" max="10697" width="10" style="7" customWidth="1"/>
    <col min="10698" max="10698" width="11.44140625" style="7" customWidth="1"/>
    <col min="10699" max="10699" width="11.5546875" style="7" customWidth="1"/>
    <col min="10700" max="10700" width="9.109375" style="7" customWidth="1"/>
    <col min="10701" max="10702" width="9.44140625" style="7" customWidth="1"/>
    <col min="10703" max="10703" width="0" style="7" hidden="1" customWidth="1"/>
    <col min="10704" max="10705" width="9.5546875" style="7" customWidth="1"/>
    <col min="10706" max="10706" width="10.33203125" style="7" customWidth="1"/>
    <col min="10707" max="10707" width="3.109375" style="7" customWidth="1"/>
    <col min="10708" max="10712" width="0" style="7" hidden="1" customWidth="1"/>
    <col min="10713" max="10713" width="10.88671875" style="7"/>
    <col min="10714" max="10715" width="7.109375" style="7" customWidth="1"/>
    <col min="10716" max="10947" width="10.88671875" style="7"/>
    <col min="10948" max="10948" width="3.5546875" style="7" customWidth="1"/>
    <col min="10949" max="10950" width="9" style="7" customWidth="1"/>
    <col min="10951" max="10951" width="7" style="7" customWidth="1"/>
    <col min="10952" max="10952" width="13.33203125" style="7" customWidth="1"/>
    <col min="10953" max="10953" width="10" style="7" customWidth="1"/>
    <col min="10954" max="10954" width="11.44140625" style="7" customWidth="1"/>
    <col min="10955" max="10955" width="11.5546875" style="7" customWidth="1"/>
    <col min="10956" max="10956" width="9.109375" style="7" customWidth="1"/>
    <col min="10957" max="10958" width="9.44140625" style="7" customWidth="1"/>
    <col min="10959" max="10959" width="0" style="7" hidden="1" customWidth="1"/>
    <col min="10960" max="10961" width="9.5546875" style="7" customWidth="1"/>
    <col min="10962" max="10962" width="10.33203125" style="7" customWidth="1"/>
    <col min="10963" max="10963" width="3.109375" style="7" customWidth="1"/>
    <col min="10964" max="10968" width="0" style="7" hidden="1" customWidth="1"/>
    <col min="10969" max="10969" width="10.88671875" style="7"/>
    <col min="10970" max="10971" width="7.109375" style="7" customWidth="1"/>
    <col min="10972" max="11203" width="10.88671875" style="7"/>
    <col min="11204" max="11204" width="3.5546875" style="7" customWidth="1"/>
    <col min="11205" max="11206" width="9" style="7" customWidth="1"/>
    <col min="11207" max="11207" width="7" style="7" customWidth="1"/>
    <col min="11208" max="11208" width="13.33203125" style="7" customWidth="1"/>
    <col min="11209" max="11209" width="10" style="7" customWidth="1"/>
    <col min="11210" max="11210" width="11.44140625" style="7" customWidth="1"/>
    <col min="11211" max="11211" width="11.5546875" style="7" customWidth="1"/>
    <col min="11212" max="11212" width="9.109375" style="7" customWidth="1"/>
    <col min="11213" max="11214" width="9.44140625" style="7" customWidth="1"/>
    <col min="11215" max="11215" width="0" style="7" hidden="1" customWidth="1"/>
    <col min="11216" max="11217" width="9.5546875" style="7" customWidth="1"/>
    <col min="11218" max="11218" width="10.33203125" style="7" customWidth="1"/>
    <col min="11219" max="11219" width="3.109375" style="7" customWidth="1"/>
    <col min="11220" max="11224" width="0" style="7" hidden="1" customWidth="1"/>
    <col min="11225" max="11225" width="10.88671875" style="7"/>
    <col min="11226" max="11227" width="7.109375" style="7" customWidth="1"/>
    <col min="11228" max="11459" width="10.88671875" style="7"/>
    <col min="11460" max="11460" width="3.5546875" style="7" customWidth="1"/>
    <col min="11461" max="11462" width="9" style="7" customWidth="1"/>
    <col min="11463" max="11463" width="7" style="7" customWidth="1"/>
    <col min="11464" max="11464" width="13.33203125" style="7" customWidth="1"/>
    <col min="11465" max="11465" width="10" style="7" customWidth="1"/>
    <col min="11466" max="11466" width="11.44140625" style="7" customWidth="1"/>
    <col min="11467" max="11467" width="11.5546875" style="7" customWidth="1"/>
    <col min="11468" max="11468" width="9.109375" style="7" customWidth="1"/>
    <col min="11469" max="11470" width="9.44140625" style="7" customWidth="1"/>
    <col min="11471" max="11471" width="0" style="7" hidden="1" customWidth="1"/>
    <col min="11472" max="11473" width="9.5546875" style="7" customWidth="1"/>
    <col min="11474" max="11474" width="10.33203125" style="7" customWidth="1"/>
    <col min="11475" max="11475" width="3.109375" style="7" customWidth="1"/>
    <col min="11476" max="11480" width="0" style="7" hidden="1" customWidth="1"/>
    <col min="11481" max="11481" width="10.88671875" style="7"/>
    <col min="11482" max="11483" width="7.109375" style="7" customWidth="1"/>
    <col min="11484" max="11715" width="10.88671875" style="7"/>
    <col min="11716" max="11716" width="3.5546875" style="7" customWidth="1"/>
    <col min="11717" max="11718" width="9" style="7" customWidth="1"/>
    <col min="11719" max="11719" width="7" style="7" customWidth="1"/>
    <col min="11720" max="11720" width="13.33203125" style="7" customWidth="1"/>
    <col min="11721" max="11721" width="10" style="7" customWidth="1"/>
    <col min="11722" max="11722" width="11.44140625" style="7" customWidth="1"/>
    <col min="11723" max="11723" width="11.5546875" style="7" customWidth="1"/>
    <col min="11724" max="11724" width="9.109375" style="7" customWidth="1"/>
    <col min="11725" max="11726" width="9.44140625" style="7" customWidth="1"/>
    <col min="11727" max="11727" width="0" style="7" hidden="1" customWidth="1"/>
    <col min="11728" max="11729" width="9.5546875" style="7" customWidth="1"/>
    <col min="11730" max="11730" width="10.33203125" style="7" customWidth="1"/>
    <col min="11731" max="11731" width="3.109375" style="7" customWidth="1"/>
    <col min="11732" max="11736" width="0" style="7" hidden="1" customWidth="1"/>
    <col min="11737" max="11737" width="10.88671875" style="7"/>
    <col min="11738" max="11739" width="7.109375" style="7" customWidth="1"/>
    <col min="11740" max="11971" width="10.88671875" style="7"/>
    <col min="11972" max="11972" width="3.5546875" style="7" customWidth="1"/>
    <col min="11973" max="11974" width="9" style="7" customWidth="1"/>
    <col min="11975" max="11975" width="7" style="7" customWidth="1"/>
    <col min="11976" max="11976" width="13.33203125" style="7" customWidth="1"/>
    <col min="11977" max="11977" width="10" style="7" customWidth="1"/>
    <col min="11978" max="11978" width="11.44140625" style="7" customWidth="1"/>
    <col min="11979" max="11979" width="11.5546875" style="7" customWidth="1"/>
    <col min="11980" max="11980" width="9.109375" style="7" customWidth="1"/>
    <col min="11981" max="11982" width="9.44140625" style="7" customWidth="1"/>
    <col min="11983" max="11983" width="0" style="7" hidden="1" customWidth="1"/>
    <col min="11984" max="11985" width="9.5546875" style="7" customWidth="1"/>
    <col min="11986" max="11986" width="10.33203125" style="7" customWidth="1"/>
    <col min="11987" max="11987" width="3.109375" style="7" customWidth="1"/>
    <col min="11988" max="11992" width="0" style="7" hidden="1" customWidth="1"/>
    <col min="11993" max="11993" width="10.88671875" style="7"/>
    <col min="11994" max="11995" width="7.109375" style="7" customWidth="1"/>
    <col min="11996" max="12227" width="10.88671875" style="7"/>
    <col min="12228" max="12228" width="3.5546875" style="7" customWidth="1"/>
    <col min="12229" max="12230" width="9" style="7" customWidth="1"/>
    <col min="12231" max="12231" width="7" style="7" customWidth="1"/>
    <col min="12232" max="12232" width="13.33203125" style="7" customWidth="1"/>
    <col min="12233" max="12233" width="10" style="7" customWidth="1"/>
    <col min="12234" max="12234" width="11.44140625" style="7" customWidth="1"/>
    <col min="12235" max="12235" width="11.5546875" style="7" customWidth="1"/>
    <col min="12236" max="12236" width="9.109375" style="7" customWidth="1"/>
    <col min="12237" max="12238" width="9.44140625" style="7" customWidth="1"/>
    <col min="12239" max="12239" width="0" style="7" hidden="1" customWidth="1"/>
    <col min="12240" max="12241" width="9.5546875" style="7" customWidth="1"/>
    <col min="12242" max="12242" width="10.33203125" style="7" customWidth="1"/>
    <col min="12243" max="12243" width="3.109375" style="7" customWidth="1"/>
    <col min="12244" max="12248" width="0" style="7" hidden="1" customWidth="1"/>
    <col min="12249" max="12249" width="10.88671875" style="7"/>
    <col min="12250" max="12251" width="7.109375" style="7" customWidth="1"/>
    <col min="12252" max="12483" width="10.88671875" style="7"/>
    <col min="12484" max="12484" width="3.5546875" style="7" customWidth="1"/>
    <col min="12485" max="12486" width="9" style="7" customWidth="1"/>
    <col min="12487" max="12487" width="7" style="7" customWidth="1"/>
    <col min="12488" max="12488" width="13.33203125" style="7" customWidth="1"/>
    <col min="12489" max="12489" width="10" style="7" customWidth="1"/>
    <col min="12490" max="12490" width="11.44140625" style="7" customWidth="1"/>
    <col min="12491" max="12491" width="11.5546875" style="7" customWidth="1"/>
    <col min="12492" max="12492" width="9.109375" style="7" customWidth="1"/>
    <col min="12493" max="12494" width="9.44140625" style="7" customWidth="1"/>
    <col min="12495" max="12495" width="0" style="7" hidden="1" customWidth="1"/>
    <col min="12496" max="12497" width="9.5546875" style="7" customWidth="1"/>
    <col min="12498" max="12498" width="10.33203125" style="7" customWidth="1"/>
    <col min="12499" max="12499" width="3.109375" style="7" customWidth="1"/>
    <col min="12500" max="12504" width="0" style="7" hidden="1" customWidth="1"/>
    <col min="12505" max="12505" width="10.88671875" style="7"/>
    <col min="12506" max="12507" width="7.109375" style="7" customWidth="1"/>
    <col min="12508" max="12739" width="10.88671875" style="7"/>
    <col min="12740" max="12740" width="3.5546875" style="7" customWidth="1"/>
    <col min="12741" max="12742" width="9" style="7" customWidth="1"/>
    <col min="12743" max="12743" width="7" style="7" customWidth="1"/>
    <col min="12744" max="12744" width="13.33203125" style="7" customWidth="1"/>
    <col min="12745" max="12745" width="10" style="7" customWidth="1"/>
    <col min="12746" max="12746" width="11.44140625" style="7" customWidth="1"/>
    <col min="12747" max="12747" width="11.5546875" style="7" customWidth="1"/>
    <col min="12748" max="12748" width="9.109375" style="7" customWidth="1"/>
    <col min="12749" max="12750" width="9.44140625" style="7" customWidth="1"/>
    <col min="12751" max="12751" width="0" style="7" hidden="1" customWidth="1"/>
    <col min="12752" max="12753" width="9.5546875" style="7" customWidth="1"/>
    <col min="12754" max="12754" width="10.33203125" style="7" customWidth="1"/>
    <col min="12755" max="12755" width="3.109375" style="7" customWidth="1"/>
    <col min="12756" max="12760" width="0" style="7" hidden="1" customWidth="1"/>
    <col min="12761" max="12761" width="10.88671875" style="7"/>
    <col min="12762" max="12763" width="7.109375" style="7" customWidth="1"/>
    <col min="12764" max="12995" width="10.88671875" style="7"/>
    <col min="12996" max="12996" width="3.5546875" style="7" customWidth="1"/>
    <col min="12997" max="12998" width="9" style="7" customWidth="1"/>
    <col min="12999" max="12999" width="7" style="7" customWidth="1"/>
    <col min="13000" max="13000" width="13.33203125" style="7" customWidth="1"/>
    <col min="13001" max="13001" width="10" style="7" customWidth="1"/>
    <col min="13002" max="13002" width="11.44140625" style="7" customWidth="1"/>
    <col min="13003" max="13003" width="11.5546875" style="7" customWidth="1"/>
    <col min="13004" max="13004" width="9.109375" style="7" customWidth="1"/>
    <col min="13005" max="13006" width="9.44140625" style="7" customWidth="1"/>
    <col min="13007" max="13007" width="0" style="7" hidden="1" customWidth="1"/>
    <col min="13008" max="13009" width="9.5546875" style="7" customWidth="1"/>
    <col min="13010" max="13010" width="10.33203125" style="7" customWidth="1"/>
    <col min="13011" max="13011" width="3.109375" style="7" customWidth="1"/>
    <col min="13012" max="13016" width="0" style="7" hidden="1" customWidth="1"/>
    <col min="13017" max="13017" width="10.88671875" style="7"/>
    <col min="13018" max="13019" width="7.109375" style="7" customWidth="1"/>
    <col min="13020" max="13251" width="10.88671875" style="7"/>
    <col min="13252" max="13252" width="3.5546875" style="7" customWidth="1"/>
    <col min="13253" max="13254" width="9" style="7" customWidth="1"/>
    <col min="13255" max="13255" width="7" style="7" customWidth="1"/>
    <col min="13256" max="13256" width="13.33203125" style="7" customWidth="1"/>
    <col min="13257" max="13257" width="10" style="7" customWidth="1"/>
    <col min="13258" max="13258" width="11.44140625" style="7" customWidth="1"/>
    <col min="13259" max="13259" width="11.5546875" style="7" customWidth="1"/>
    <col min="13260" max="13260" width="9.109375" style="7" customWidth="1"/>
    <col min="13261" max="13262" width="9.44140625" style="7" customWidth="1"/>
    <col min="13263" max="13263" width="0" style="7" hidden="1" customWidth="1"/>
    <col min="13264" max="13265" width="9.5546875" style="7" customWidth="1"/>
    <col min="13266" max="13266" width="10.33203125" style="7" customWidth="1"/>
    <col min="13267" max="13267" width="3.109375" style="7" customWidth="1"/>
    <col min="13268" max="13272" width="0" style="7" hidden="1" customWidth="1"/>
    <col min="13273" max="13273" width="10.88671875" style="7"/>
    <col min="13274" max="13275" width="7.109375" style="7" customWidth="1"/>
    <col min="13276" max="13507" width="10.88671875" style="7"/>
    <col min="13508" max="13508" width="3.5546875" style="7" customWidth="1"/>
    <col min="13509" max="13510" width="9" style="7" customWidth="1"/>
    <col min="13511" max="13511" width="7" style="7" customWidth="1"/>
    <col min="13512" max="13512" width="13.33203125" style="7" customWidth="1"/>
    <col min="13513" max="13513" width="10" style="7" customWidth="1"/>
    <col min="13514" max="13514" width="11.44140625" style="7" customWidth="1"/>
    <col min="13515" max="13515" width="11.5546875" style="7" customWidth="1"/>
    <col min="13516" max="13516" width="9.109375" style="7" customWidth="1"/>
    <col min="13517" max="13518" width="9.44140625" style="7" customWidth="1"/>
    <col min="13519" max="13519" width="0" style="7" hidden="1" customWidth="1"/>
    <col min="13520" max="13521" width="9.5546875" style="7" customWidth="1"/>
    <col min="13522" max="13522" width="10.33203125" style="7" customWidth="1"/>
    <col min="13523" max="13523" width="3.109375" style="7" customWidth="1"/>
    <col min="13524" max="13528" width="0" style="7" hidden="1" customWidth="1"/>
    <col min="13529" max="13529" width="10.88671875" style="7"/>
    <col min="13530" max="13531" width="7.109375" style="7" customWidth="1"/>
    <col min="13532" max="13763" width="10.88671875" style="7"/>
    <col min="13764" max="13764" width="3.5546875" style="7" customWidth="1"/>
    <col min="13765" max="13766" width="9" style="7" customWidth="1"/>
    <col min="13767" max="13767" width="7" style="7" customWidth="1"/>
    <col min="13768" max="13768" width="13.33203125" style="7" customWidth="1"/>
    <col min="13769" max="13769" width="10" style="7" customWidth="1"/>
    <col min="13770" max="13770" width="11.44140625" style="7" customWidth="1"/>
    <col min="13771" max="13771" width="11.5546875" style="7" customWidth="1"/>
    <col min="13772" max="13772" width="9.109375" style="7" customWidth="1"/>
    <col min="13773" max="13774" width="9.44140625" style="7" customWidth="1"/>
    <col min="13775" max="13775" width="0" style="7" hidden="1" customWidth="1"/>
    <col min="13776" max="13777" width="9.5546875" style="7" customWidth="1"/>
    <col min="13778" max="13778" width="10.33203125" style="7" customWidth="1"/>
    <col min="13779" max="13779" width="3.109375" style="7" customWidth="1"/>
    <col min="13780" max="13784" width="0" style="7" hidden="1" customWidth="1"/>
    <col min="13785" max="13785" width="10.88671875" style="7"/>
    <col min="13786" max="13787" width="7.109375" style="7" customWidth="1"/>
    <col min="13788" max="14019" width="10.88671875" style="7"/>
    <col min="14020" max="14020" width="3.5546875" style="7" customWidth="1"/>
    <col min="14021" max="14022" width="9" style="7" customWidth="1"/>
    <col min="14023" max="14023" width="7" style="7" customWidth="1"/>
    <col min="14024" max="14024" width="13.33203125" style="7" customWidth="1"/>
    <col min="14025" max="14025" width="10" style="7" customWidth="1"/>
    <col min="14026" max="14026" width="11.44140625" style="7" customWidth="1"/>
    <col min="14027" max="14027" width="11.5546875" style="7" customWidth="1"/>
    <col min="14028" max="14028" width="9.109375" style="7" customWidth="1"/>
    <col min="14029" max="14030" width="9.44140625" style="7" customWidth="1"/>
    <col min="14031" max="14031" width="0" style="7" hidden="1" customWidth="1"/>
    <col min="14032" max="14033" width="9.5546875" style="7" customWidth="1"/>
    <col min="14034" max="14034" width="10.33203125" style="7" customWidth="1"/>
    <col min="14035" max="14035" width="3.109375" style="7" customWidth="1"/>
    <col min="14036" max="14040" width="0" style="7" hidden="1" customWidth="1"/>
    <col min="14041" max="14041" width="10.88671875" style="7"/>
    <col min="14042" max="14043" width="7.109375" style="7" customWidth="1"/>
    <col min="14044" max="14275" width="10.88671875" style="7"/>
    <col min="14276" max="14276" width="3.5546875" style="7" customWidth="1"/>
    <col min="14277" max="14278" width="9" style="7" customWidth="1"/>
    <col min="14279" max="14279" width="7" style="7" customWidth="1"/>
    <col min="14280" max="14280" width="13.33203125" style="7" customWidth="1"/>
    <col min="14281" max="14281" width="10" style="7" customWidth="1"/>
    <col min="14282" max="14282" width="11.44140625" style="7" customWidth="1"/>
    <col min="14283" max="14283" width="11.5546875" style="7" customWidth="1"/>
    <col min="14284" max="14284" width="9.109375" style="7" customWidth="1"/>
    <col min="14285" max="14286" width="9.44140625" style="7" customWidth="1"/>
    <col min="14287" max="14287" width="0" style="7" hidden="1" customWidth="1"/>
    <col min="14288" max="14289" width="9.5546875" style="7" customWidth="1"/>
    <col min="14290" max="14290" width="10.33203125" style="7" customWidth="1"/>
    <col min="14291" max="14291" width="3.109375" style="7" customWidth="1"/>
    <col min="14292" max="14296" width="0" style="7" hidden="1" customWidth="1"/>
    <col min="14297" max="14297" width="10.88671875" style="7"/>
    <col min="14298" max="14299" width="7.109375" style="7" customWidth="1"/>
    <col min="14300" max="14531" width="10.88671875" style="7"/>
    <col min="14532" max="14532" width="3.5546875" style="7" customWidth="1"/>
    <col min="14533" max="14534" width="9" style="7" customWidth="1"/>
    <col min="14535" max="14535" width="7" style="7" customWidth="1"/>
    <col min="14536" max="14536" width="13.33203125" style="7" customWidth="1"/>
    <col min="14537" max="14537" width="10" style="7" customWidth="1"/>
    <col min="14538" max="14538" width="11.44140625" style="7" customWidth="1"/>
    <col min="14539" max="14539" width="11.5546875" style="7" customWidth="1"/>
    <col min="14540" max="14540" width="9.109375" style="7" customWidth="1"/>
    <col min="14541" max="14542" width="9.44140625" style="7" customWidth="1"/>
    <col min="14543" max="14543" width="0" style="7" hidden="1" customWidth="1"/>
    <col min="14544" max="14545" width="9.5546875" style="7" customWidth="1"/>
    <col min="14546" max="14546" width="10.33203125" style="7" customWidth="1"/>
    <col min="14547" max="14547" width="3.109375" style="7" customWidth="1"/>
    <col min="14548" max="14552" width="0" style="7" hidden="1" customWidth="1"/>
    <col min="14553" max="14553" width="10.88671875" style="7"/>
    <col min="14554" max="14555" width="7.109375" style="7" customWidth="1"/>
    <col min="14556" max="14787" width="10.88671875" style="7"/>
    <col min="14788" max="14788" width="3.5546875" style="7" customWidth="1"/>
    <col min="14789" max="14790" width="9" style="7" customWidth="1"/>
    <col min="14791" max="14791" width="7" style="7" customWidth="1"/>
    <col min="14792" max="14792" width="13.33203125" style="7" customWidth="1"/>
    <col min="14793" max="14793" width="10" style="7" customWidth="1"/>
    <col min="14794" max="14794" width="11.44140625" style="7" customWidth="1"/>
    <col min="14795" max="14795" width="11.5546875" style="7" customWidth="1"/>
    <col min="14796" max="14796" width="9.109375" style="7" customWidth="1"/>
    <col min="14797" max="14798" width="9.44140625" style="7" customWidth="1"/>
    <col min="14799" max="14799" width="0" style="7" hidden="1" customWidth="1"/>
    <col min="14800" max="14801" width="9.5546875" style="7" customWidth="1"/>
    <col min="14802" max="14802" width="10.33203125" style="7" customWidth="1"/>
    <col min="14803" max="14803" width="3.109375" style="7" customWidth="1"/>
    <col min="14804" max="14808" width="0" style="7" hidden="1" customWidth="1"/>
    <col min="14809" max="14809" width="10.88671875" style="7"/>
    <col min="14810" max="14811" width="7.109375" style="7" customWidth="1"/>
    <col min="14812" max="15043" width="10.88671875" style="7"/>
    <col min="15044" max="15044" width="3.5546875" style="7" customWidth="1"/>
    <col min="15045" max="15046" width="9" style="7" customWidth="1"/>
    <col min="15047" max="15047" width="7" style="7" customWidth="1"/>
    <col min="15048" max="15048" width="13.33203125" style="7" customWidth="1"/>
    <col min="15049" max="15049" width="10" style="7" customWidth="1"/>
    <col min="15050" max="15050" width="11.44140625" style="7" customWidth="1"/>
    <col min="15051" max="15051" width="11.5546875" style="7" customWidth="1"/>
    <col min="15052" max="15052" width="9.109375" style="7" customWidth="1"/>
    <col min="15053" max="15054" width="9.44140625" style="7" customWidth="1"/>
    <col min="15055" max="15055" width="0" style="7" hidden="1" customWidth="1"/>
    <col min="15056" max="15057" width="9.5546875" style="7" customWidth="1"/>
    <col min="15058" max="15058" width="10.33203125" style="7" customWidth="1"/>
    <col min="15059" max="15059" width="3.109375" style="7" customWidth="1"/>
    <col min="15060" max="15064" width="0" style="7" hidden="1" customWidth="1"/>
    <col min="15065" max="15065" width="10.88671875" style="7"/>
    <col min="15066" max="15067" width="7.109375" style="7" customWidth="1"/>
    <col min="15068" max="15299" width="10.88671875" style="7"/>
    <col min="15300" max="15300" width="3.5546875" style="7" customWidth="1"/>
    <col min="15301" max="15302" width="9" style="7" customWidth="1"/>
    <col min="15303" max="15303" width="7" style="7" customWidth="1"/>
    <col min="15304" max="15304" width="13.33203125" style="7" customWidth="1"/>
    <col min="15305" max="15305" width="10" style="7" customWidth="1"/>
    <col min="15306" max="15306" width="11.44140625" style="7" customWidth="1"/>
    <col min="15307" max="15307" width="11.5546875" style="7" customWidth="1"/>
    <col min="15308" max="15308" width="9.109375" style="7" customWidth="1"/>
    <col min="15309" max="15310" width="9.44140625" style="7" customWidth="1"/>
    <col min="15311" max="15311" width="0" style="7" hidden="1" customWidth="1"/>
    <col min="15312" max="15313" width="9.5546875" style="7" customWidth="1"/>
    <col min="15314" max="15314" width="10.33203125" style="7" customWidth="1"/>
    <col min="15315" max="15315" width="3.109375" style="7" customWidth="1"/>
    <col min="15316" max="15320" width="0" style="7" hidden="1" customWidth="1"/>
    <col min="15321" max="15321" width="10.88671875" style="7"/>
    <col min="15322" max="15323" width="7.109375" style="7" customWidth="1"/>
    <col min="15324" max="15555" width="10.88671875" style="7"/>
    <col min="15556" max="15556" width="3.5546875" style="7" customWidth="1"/>
    <col min="15557" max="15558" width="9" style="7" customWidth="1"/>
    <col min="15559" max="15559" width="7" style="7" customWidth="1"/>
    <col min="15560" max="15560" width="13.33203125" style="7" customWidth="1"/>
    <col min="15561" max="15561" width="10" style="7" customWidth="1"/>
    <col min="15562" max="15562" width="11.44140625" style="7" customWidth="1"/>
    <col min="15563" max="15563" width="11.5546875" style="7" customWidth="1"/>
    <col min="15564" max="15564" width="9.109375" style="7" customWidth="1"/>
    <col min="15565" max="15566" width="9.44140625" style="7" customWidth="1"/>
    <col min="15567" max="15567" width="0" style="7" hidden="1" customWidth="1"/>
    <col min="15568" max="15569" width="9.5546875" style="7" customWidth="1"/>
    <col min="15570" max="15570" width="10.33203125" style="7" customWidth="1"/>
    <col min="15571" max="15571" width="3.109375" style="7" customWidth="1"/>
    <col min="15572" max="15576" width="0" style="7" hidden="1" customWidth="1"/>
    <col min="15577" max="15577" width="10.88671875" style="7"/>
    <col min="15578" max="15579" width="7.109375" style="7" customWidth="1"/>
    <col min="15580" max="15811" width="10.88671875" style="7"/>
    <col min="15812" max="15812" width="3.5546875" style="7" customWidth="1"/>
    <col min="15813" max="15814" width="9" style="7" customWidth="1"/>
    <col min="15815" max="15815" width="7" style="7" customWidth="1"/>
    <col min="15816" max="15816" width="13.33203125" style="7" customWidth="1"/>
    <col min="15817" max="15817" width="10" style="7" customWidth="1"/>
    <col min="15818" max="15818" width="11.44140625" style="7" customWidth="1"/>
    <col min="15819" max="15819" width="11.5546875" style="7" customWidth="1"/>
    <col min="15820" max="15820" width="9.109375" style="7" customWidth="1"/>
    <col min="15821" max="15822" width="9.44140625" style="7" customWidth="1"/>
    <col min="15823" max="15823" width="0" style="7" hidden="1" customWidth="1"/>
    <col min="15824" max="15825" width="9.5546875" style="7" customWidth="1"/>
    <col min="15826" max="15826" width="10.33203125" style="7" customWidth="1"/>
    <col min="15827" max="15827" width="3.109375" style="7" customWidth="1"/>
    <col min="15828" max="15832" width="0" style="7" hidden="1" customWidth="1"/>
    <col min="15833" max="15833" width="10.88671875" style="7"/>
    <col min="15834" max="15835" width="7.109375" style="7" customWidth="1"/>
    <col min="15836" max="16067" width="10.88671875" style="7"/>
    <col min="16068" max="16068" width="3.5546875" style="7" customWidth="1"/>
    <col min="16069" max="16070" width="9" style="7" customWidth="1"/>
    <col min="16071" max="16071" width="7" style="7" customWidth="1"/>
    <col min="16072" max="16072" width="13.33203125" style="7" customWidth="1"/>
    <col min="16073" max="16073" width="10" style="7" customWidth="1"/>
    <col min="16074" max="16074" width="11.44140625" style="7" customWidth="1"/>
    <col min="16075" max="16075" width="11.5546875" style="7" customWidth="1"/>
    <col min="16076" max="16076" width="9.109375" style="7" customWidth="1"/>
    <col min="16077" max="16078" width="9.44140625" style="7" customWidth="1"/>
    <col min="16079" max="16079" width="0" style="7" hidden="1" customWidth="1"/>
    <col min="16080" max="16081" width="9.5546875" style="7" customWidth="1"/>
    <col min="16082" max="16082" width="10.33203125" style="7" customWidth="1"/>
    <col min="16083" max="16083" width="3.109375" style="7" customWidth="1"/>
    <col min="16084" max="16088" width="0" style="7" hidden="1" customWidth="1"/>
    <col min="16089" max="16089" width="10.88671875" style="7"/>
    <col min="16090" max="16091" width="7.109375" style="7" customWidth="1"/>
    <col min="16092" max="16384" width="10.88671875" style="7"/>
  </cols>
  <sheetData>
    <row r="2" spans="2:24" ht="15.6">
      <c r="B2" s="405" t="s">
        <v>0</v>
      </c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</row>
    <row r="3" spans="2:24" ht="13.8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2:24" ht="13.8">
      <c r="B4" s="406" t="s">
        <v>1</v>
      </c>
      <c r="C4" s="406"/>
      <c r="D4" s="406"/>
      <c r="E4" s="406"/>
      <c r="F4" s="406"/>
      <c r="G4" s="406"/>
      <c r="H4" s="406"/>
      <c r="I4" s="406"/>
      <c r="J4" s="406"/>
      <c r="K4" s="406"/>
      <c r="L4" s="406"/>
      <c r="M4" s="406"/>
      <c r="N4" s="406"/>
      <c r="O4" s="406"/>
    </row>
    <row r="5" spans="2:24" ht="13.8">
      <c r="B5" s="406" t="s">
        <v>2</v>
      </c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</row>
    <row r="6" spans="2:24" ht="13.8">
      <c r="B6" s="94" t="s">
        <v>3</v>
      </c>
      <c r="C6" s="9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</row>
    <row r="7" spans="2:24" ht="13.8">
      <c r="B7" s="10" t="s">
        <v>4</v>
      </c>
      <c r="C7" s="11"/>
      <c r="D7" s="11"/>
      <c r="E7" s="11"/>
      <c r="F7" s="11"/>
      <c r="G7" s="11"/>
      <c r="H7" s="11"/>
      <c r="I7" s="11"/>
      <c r="J7" s="11"/>
      <c r="K7" s="12"/>
      <c r="L7" s="11"/>
      <c r="M7" s="13"/>
      <c r="N7" s="13"/>
      <c r="O7" s="13"/>
    </row>
    <row r="8" spans="2:24" s="14" customFormat="1" ht="15.6">
      <c r="B8" s="407"/>
      <c r="C8" s="407"/>
      <c r="D8" s="407"/>
      <c r="E8" s="407"/>
      <c r="F8" s="407"/>
      <c r="G8" s="407"/>
      <c r="H8" s="407"/>
      <c r="I8" s="407"/>
      <c r="J8" s="407"/>
      <c r="K8" s="407"/>
      <c r="L8" s="407"/>
      <c r="M8" s="95"/>
      <c r="N8" s="95"/>
      <c r="O8" s="15">
        <v>14</v>
      </c>
      <c r="P8" s="15"/>
      <c r="Q8" s="98"/>
      <c r="R8" s="99"/>
      <c r="S8" s="99"/>
      <c r="T8" s="99"/>
      <c r="U8" s="99"/>
      <c r="V8" s="99"/>
      <c r="W8" s="99"/>
      <c r="X8" s="99"/>
    </row>
    <row r="9" spans="2:24" ht="15" customHeight="1">
      <c r="B9" s="408" t="s">
        <v>943</v>
      </c>
      <c r="C9" s="409"/>
      <c r="D9" s="409"/>
      <c r="E9" s="409"/>
      <c r="F9" s="409"/>
      <c r="G9" s="409"/>
      <c r="H9" s="409"/>
      <c r="I9" s="409"/>
      <c r="J9" s="409"/>
      <c r="K9" s="409"/>
      <c r="L9" s="409"/>
      <c r="M9" s="409"/>
      <c r="N9" s="409"/>
      <c r="O9" s="409"/>
      <c r="P9" s="410"/>
      <c r="Q9" s="100"/>
    </row>
    <row r="10" spans="2:24">
      <c r="B10" s="16"/>
      <c r="N10" s="17"/>
      <c r="O10" s="18"/>
      <c r="P10" s="19"/>
    </row>
    <row r="11" spans="2:24" ht="13.8">
      <c r="B11" s="16"/>
      <c r="N11" s="17" t="s">
        <v>6</v>
      </c>
      <c r="O11" s="5">
        <f ca="1">+'Simulador CUOTA'!C11</f>
        <v>46234</v>
      </c>
      <c r="P11" s="69"/>
    </row>
    <row r="12" spans="2:24" ht="13.8">
      <c r="B12" s="20" t="s">
        <v>9</v>
      </c>
      <c r="C12" s="1">
        <f>+'Simulador CUOTA'!Z12</f>
        <v>0.18440000000000001</v>
      </c>
      <c r="E12" s="21" t="s">
        <v>933</v>
      </c>
      <c r="F12" s="6">
        <f>+'Simulador CUOTA'!F12</f>
        <v>10000</v>
      </c>
      <c r="H12" s="22" t="s">
        <v>934</v>
      </c>
      <c r="N12" s="17" t="s">
        <v>11</v>
      </c>
      <c r="O12" s="6">
        <f>+'Simulador CUOTA'!O12</f>
        <v>9</v>
      </c>
      <c r="P12" s="23">
        <f>VLOOKUP(O12,Tabla2[],2,FALSE)</f>
        <v>7</v>
      </c>
    </row>
    <row r="13" spans="2:24" ht="13.8">
      <c r="B13" s="20" t="s">
        <v>12</v>
      </c>
      <c r="C13" s="24">
        <f>ROUND((1+C12)^(1/12)-1,4)</f>
        <v>1.4200000000000001E-2</v>
      </c>
      <c r="E13" s="25" t="s">
        <v>935</v>
      </c>
      <c r="F13" s="24">
        <f>+'Simulador CUOTA'!F13</f>
        <v>6.8999999999999999E-3</v>
      </c>
      <c r="G13" s="26">
        <f>+F13*F12</f>
        <v>69</v>
      </c>
      <c r="N13" s="17" t="s">
        <v>13</v>
      </c>
      <c r="O13" s="92">
        <f ca="1">VLOOKUP($P$12,Tabla2[[#All],[PPD]:[Columna2]],4,FALSE)</f>
        <v>46210</v>
      </c>
      <c r="P13" s="69"/>
    </row>
    <row r="14" spans="2:24" ht="13.8">
      <c r="B14" s="20" t="s">
        <v>14</v>
      </c>
      <c r="C14" s="24">
        <f ca="1">ROUNDDOWN((1+C15)^12-1,4)</f>
        <v>0.24840000000000001</v>
      </c>
      <c r="E14" s="25" t="s">
        <v>15</v>
      </c>
      <c r="F14" s="27">
        <f ca="1">+'Simulador CUOTA'!F14</f>
        <v>900.20975187679994</v>
      </c>
      <c r="N14" s="28" t="s">
        <v>16</v>
      </c>
      <c r="O14" s="93">
        <v>20</v>
      </c>
      <c r="P14" s="69"/>
    </row>
    <row r="15" spans="2:24" ht="13.8">
      <c r="B15" s="29" t="s">
        <v>17</v>
      </c>
      <c r="C15" s="184">
        <f ca="1">IRR(K23:K86)</f>
        <v>1.86648596594301E-2</v>
      </c>
      <c r="E15" s="30" t="s">
        <v>18</v>
      </c>
      <c r="F15" s="31">
        <f ca="1">+'Simulador CUOTA'!F15</f>
        <v>10900.209751876801</v>
      </c>
      <c r="O15" s="32"/>
      <c r="P15" s="69"/>
    </row>
    <row r="16" spans="2:24" ht="13.8">
      <c r="B16" s="33" t="s">
        <v>21</v>
      </c>
      <c r="C16" s="2">
        <f>+'Simulador CUOTA'!C16</f>
        <v>48</v>
      </c>
      <c r="E16" s="34" t="s">
        <v>20</v>
      </c>
      <c r="F16" s="35">
        <f>+'Simulador CUOTA'!F16</f>
        <v>0</v>
      </c>
      <c r="N16" s="398" t="s">
        <v>22</v>
      </c>
      <c r="O16" s="400" t="str" cm="1">
        <f t="array" ref="O16:O17">+'Simulador CUOTA'!AC16:AC17</f>
        <v>Plan 1</v>
      </c>
      <c r="P16" s="19"/>
    </row>
    <row r="17" spans="2:24" ht="13.8">
      <c r="B17" s="16"/>
      <c r="E17" s="34" t="s">
        <v>26</v>
      </c>
      <c r="F17" s="35">
        <f>+'Simulador CUOTA'!F17</f>
        <v>10000</v>
      </c>
      <c r="H17" s="36" t="s">
        <v>937</v>
      </c>
      <c r="N17" s="399"/>
      <c r="O17" s="401">
        <v>0</v>
      </c>
      <c r="P17" s="19"/>
    </row>
    <row r="18" spans="2:24" ht="13.8">
      <c r="B18" s="16"/>
      <c r="N18" s="96" t="s">
        <v>27</v>
      </c>
      <c r="O18" s="37">
        <f>+'Simulador CUOTA'!AC18</f>
        <v>1.8800000000000001E-2</v>
      </c>
      <c r="P18" s="19"/>
    </row>
    <row r="19" spans="2:24" ht="13.8">
      <c r="B19" s="16"/>
      <c r="N19" s="38" t="s">
        <v>15</v>
      </c>
      <c r="O19" s="39">
        <f>+O18*F12</f>
        <v>188</v>
      </c>
      <c r="P19" s="40"/>
    </row>
    <row r="20" spans="2:24" ht="14.4">
      <c r="B20" s="41"/>
      <c r="P20" s="42"/>
      <c r="Q20" s="101"/>
      <c r="R20" s="101"/>
      <c r="S20" s="101"/>
      <c r="T20" s="101"/>
      <c r="U20" s="101"/>
      <c r="V20" s="101"/>
      <c r="W20" s="101"/>
      <c r="X20" s="101"/>
    </row>
    <row r="21" spans="2:24" ht="14.25" customHeight="1">
      <c r="B21" s="402" t="s">
        <v>31</v>
      </c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4"/>
      <c r="Q21" s="100"/>
      <c r="W21" s="102"/>
    </row>
    <row r="22" spans="2:24" ht="13.8">
      <c r="B22" s="43" t="s">
        <v>32</v>
      </c>
      <c r="C22" s="44" t="s">
        <v>33</v>
      </c>
      <c r="D22" s="44" t="s">
        <v>34</v>
      </c>
      <c r="E22" s="44" t="s">
        <v>939</v>
      </c>
      <c r="F22" s="44" t="s">
        <v>36</v>
      </c>
      <c r="G22" s="44" t="s">
        <v>37</v>
      </c>
      <c r="H22" s="44" t="s">
        <v>38</v>
      </c>
      <c r="I22" s="44" t="s">
        <v>39</v>
      </c>
      <c r="J22" s="44" t="s">
        <v>40</v>
      </c>
      <c r="K22" s="44" t="s">
        <v>41</v>
      </c>
      <c r="L22" s="45" t="s">
        <v>42</v>
      </c>
      <c r="M22" s="46"/>
      <c r="N22" s="44" t="s">
        <v>39</v>
      </c>
      <c r="O22" s="44" t="s">
        <v>40</v>
      </c>
      <c r="P22" s="45" t="s">
        <v>41</v>
      </c>
      <c r="Q22" s="100"/>
    </row>
    <row r="23" spans="2:24" hidden="1">
      <c r="B23" s="48">
        <v>0</v>
      </c>
      <c r="C23" s="49"/>
      <c r="D23" s="50"/>
      <c r="E23" s="50"/>
      <c r="F23" s="50"/>
      <c r="G23" s="50"/>
      <c r="H23" s="51"/>
      <c r="I23" s="50"/>
      <c r="J23" s="50"/>
      <c r="K23" s="52">
        <f>-F17</f>
        <v>-10000</v>
      </c>
      <c r="L23" s="53"/>
      <c r="M23" s="47"/>
      <c r="N23" s="48"/>
      <c r="O23" s="50"/>
      <c r="P23" s="53"/>
      <c r="Q23" s="100"/>
    </row>
    <row r="24" spans="2:24">
      <c r="B24" s="54">
        <v>1</v>
      </c>
      <c r="C24" s="55">
        <f ca="1">IF(C16&gt;=B24,O13,"-")</f>
        <v>46210</v>
      </c>
      <c r="D24" s="55">
        <f ca="1">IF(C16&gt;=B24,C24+$O$14,"-")</f>
        <v>46230</v>
      </c>
      <c r="E24" s="56">
        <f ca="1">IF($C$16&gt;=B24,D24-O11+1,"-")</f>
        <v>-3</v>
      </c>
      <c r="F24" s="57">
        <f ca="1">IF($C$16&gt;=B24,E24,"-")</f>
        <v>-3</v>
      </c>
      <c r="G24" s="58">
        <f ca="1">IF($C$16&gt;=B24,ROUND(1/((1+$C$12)^(F24/360)),9),"-")</f>
        <v>1.0014112980000001</v>
      </c>
      <c r="H24" s="59">
        <f ca="1">IF($C$16&gt;=B24,F15,"-")</f>
        <v>10900.209751876801</v>
      </c>
      <c r="I24" s="59">
        <f t="shared" ref="I24:I71" ca="1" si="0">IF($C$16=B24,H24,IF($C$16&gt;=B24,K24-J24,"-"))</f>
        <v>514.73</v>
      </c>
      <c r="J24" s="59">
        <f ca="1">IF($C$16=B24,K24-I24,IF($C$16&gt;=B24,ROUND(H24*((1+$C$12)^(E24/360)-1),2),"-"))</f>
        <v>-15.36</v>
      </c>
      <c r="K24" s="59">
        <f ca="1">IF(O19&gt;0,O19+IF($C$16&gt;=B24,ROUND($F$15/$G$87,2),"-"),IF($C$16&gt;=B24,ROUND($F$15/$G$87,2),"-"))</f>
        <v>499.37</v>
      </c>
      <c r="L24" s="60">
        <f ca="1">IF($C$16&gt;=B24,H24-I24,"-")</f>
        <v>10385.479751876801</v>
      </c>
      <c r="M24" s="61">
        <f ca="1">I24</f>
        <v>514.73</v>
      </c>
      <c r="N24" s="62">
        <f ca="1">IF($C$16&gt;=B24,(IF((M24&lt;=0),1,((SUM($I$24:I24)-(SUM($N$23:N23)))))),"-")</f>
        <v>514.73</v>
      </c>
      <c r="O24" s="59">
        <f ca="1">IF($C$16&gt;=B24,(P24-N24),"-")</f>
        <v>-15.360000000000014</v>
      </c>
      <c r="P24" s="60">
        <f ca="1">IF($C$16&gt;=B24,(VALUE(K24)),"-")</f>
        <v>499.37</v>
      </c>
      <c r="Q24" s="102">
        <f ca="1">P24</f>
        <v>499.37</v>
      </c>
      <c r="S24" s="103" t="str">
        <f ca="1">TEXT(C24,"yyyy/mm/dd")</f>
        <v>2026/07/07</v>
      </c>
      <c r="T24" s="97" t="str">
        <f ca="1">MID(S24,1,4)</f>
        <v>2026</v>
      </c>
      <c r="U24" s="97" t="str">
        <f ca="1">MID(S24,6,2)</f>
        <v>07</v>
      </c>
      <c r="V24" s="97" t="str">
        <f ca="1">MID(S24,9,2)</f>
        <v>07</v>
      </c>
    </row>
    <row r="25" spans="2:24">
      <c r="B25" s="54">
        <v>2</v>
      </c>
      <c r="C25" s="55">
        <f t="shared" ref="C25:C71" ca="1" si="1">IF($C$16&gt;=B25,DATE(YEAR(C24),MONTH(C24)+1,DAY(C24)),"-")</f>
        <v>46241</v>
      </c>
      <c r="D25" s="55">
        <f t="shared" ref="D25:D71" ca="1" si="2">IF($C$16&gt;=B25,C25+$O$14,"-")</f>
        <v>46261</v>
      </c>
      <c r="E25" s="57">
        <f t="shared" ref="E25:E71" ca="1" si="3">IF($C$16&gt;=B25,D25-D24,"-")</f>
        <v>31</v>
      </c>
      <c r="F25" s="57">
        <f ca="1">IF($C$16&gt;=B25,E25+F24,"-")</f>
        <v>28</v>
      </c>
      <c r="G25" s="58">
        <f t="shared" ref="G25:G71" ca="1" si="4">IF($C$16&gt;=B25,ROUND(1/((1+$C$12)^(F25/360)),9),"-")</f>
        <v>0.98692342600000005</v>
      </c>
      <c r="H25" s="59">
        <f t="shared" ref="H25:H71" ca="1" si="5">IF($C$16&gt;=B25,L24,"-")</f>
        <v>10385.479751876801</v>
      </c>
      <c r="I25" s="59">
        <f t="shared" ca="1" si="0"/>
        <v>158.91</v>
      </c>
      <c r="J25" s="59">
        <f t="shared" ref="J25:J71" ca="1" si="6">IF($C$16=B25,K25-I25,IF($C$16&gt;=B25,ROUND(H25*((1+$C$12)^(E25/360)-1),2),"-"))</f>
        <v>152.46</v>
      </c>
      <c r="K25" s="59">
        <f t="shared" ref="K25:K71" ca="1" si="7">IF($C$16&gt;=B25,ROUND($F$15/$G$87,2),"-")</f>
        <v>311.37</v>
      </c>
      <c r="L25" s="60">
        <f ca="1">IF($C$16&gt;=B25,H25-I25,"-")</f>
        <v>10226.569751876801</v>
      </c>
      <c r="M25" s="61">
        <f ca="1">P25-(J25+(I24*-1)+1)</f>
        <v>672.64</v>
      </c>
      <c r="N25" s="62">
        <f ca="1">IF($C$16&gt;=B25,(IF((M25&lt;=0),1,((SUM($I$24:I25)-(SUM($N$23:N24)))))),"-")</f>
        <v>158.90999999999997</v>
      </c>
      <c r="O25" s="59">
        <f t="shared" ref="O25:O71" ca="1" si="8">IF($C$16&gt;=B25,(P25-N25),"-")</f>
        <v>152.46000000000004</v>
      </c>
      <c r="P25" s="60">
        <f t="shared" ref="P25:P71" ca="1" si="9">IF($C$16&gt;=B25,(VALUE(K25)),"-")</f>
        <v>311.37</v>
      </c>
      <c r="Q25" s="102">
        <f t="shared" ref="Q25:Q71" ca="1" si="10">P25</f>
        <v>311.37</v>
      </c>
      <c r="S25" s="103" t="str">
        <f t="shared" ref="S25:S71" ca="1" si="11">TEXT(C25,"yyyy/mm/dd")</f>
        <v>2026/08/07</v>
      </c>
      <c r="T25" s="97" t="str">
        <f t="shared" ref="T25:T71" ca="1" si="12">IF(VALUE(U24)=12,TEXT(VALUE(T24)+1,"0000"),T24)</f>
        <v>2026</v>
      </c>
      <c r="U25" s="97" t="str">
        <f t="shared" ref="U25:U86" ca="1" si="13">IF(VALUE(U24)=12,"01",TEXT(VALUE(U24)+1,"00"))</f>
        <v>08</v>
      </c>
      <c r="V25" s="97" t="str">
        <f t="shared" ref="V25:V86" ca="1" si="14">V24</f>
        <v>07</v>
      </c>
    </row>
    <row r="26" spans="2:24">
      <c r="B26" s="54">
        <v>3</v>
      </c>
      <c r="C26" s="55">
        <f t="shared" ca="1" si="1"/>
        <v>46272</v>
      </c>
      <c r="D26" s="55">
        <f t="shared" ca="1" si="2"/>
        <v>46292</v>
      </c>
      <c r="E26" s="57">
        <f t="shared" ca="1" si="3"/>
        <v>31</v>
      </c>
      <c r="F26" s="57">
        <f t="shared" ref="F26:F71" ca="1" si="15">IF($C$16&gt;=B26,E26+F25,"-")</f>
        <v>59</v>
      </c>
      <c r="G26" s="58">
        <f t="shared" ca="1" si="4"/>
        <v>0.97264515799999995</v>
      </c>
      <c r="H26" s="59">
        <f t="shared" ca="1" si="5"/>
        <v>10226.569751876801</v>
      </c>
      <c r="I26" s="59">
        <f t="shared" ca="1" si="0"/>
        <v>161.25</v>
      </c>
      <c r="J26" s="59">
        <f t="shared" ca="1" si="6"/>
        <v>150.12</v>
      </c>
      <c r="K26" s="59">
        <f t="shared" ca="1" si="7"/>
        <v>311.37</v>
      </c>
      <c r="L26" s="60">
        <f t="shared" ref="L26:L71" ca="1" si="16">IF($C$16&gt;=B26,H26-I26,"-")</f>
        <v>10065.319751876801</v>
      </c>
      <c r="M26" s="61">
        <f ca="1">IF($C$16&gt;=B26,(IF(((P26-(J26+(I25*-1)+1))&lt;=0),1,((SUM(I$24:$I26)-(SUM($N$23:$N$25)))))),"-")</f>
        <v>161.25</v>
      </c>
      <c r="N26" s="62">
        <f ca="1">IF($C$16&gt;=B26,(IF((M26&lt;=0),1,((SUM($I$24:I26)-(SUM($N$23:N25)))))),"-")</f>
        <v>161.25</v>
      </c>
      <c r="O26" s="59">
        <f t="shared" ca="1" si="8"/>
        <v>150.12</v>
      </c>
      <c r="P26" s="60">
        <f t="shared" ca="1" si="9"/>
        <v>311.37</v>
      </c>
      <c r="Q26" s="102">
        <f t="shared" ca="1" si="10"/>
        <v>311.37</v>
      </c>
      <c r="S26" s="103" t="str">
        <f t="shared" ca="1" si="11"/>
        <v>2026/09/07</v>
      </c>
      <c r="T26" s="97" t="str">
        <f t="shared" ca="1" si="12"/>
        <v>2026</v>
      </c>
      <c r="U26" s="97" t="str">
        <f t="shared" ca="1" si="13"/>
        <v>09</v>
      </c>
      <c r="V26" s="97" t="str">
        <f t="shared" ca="1" si="14"/>
        <v>07</v>
      </c>
    </row>
    <row r="27" spans="2:24">
      <c r="B27" s="54">
        <v>4</v>
      </c>
      <c r="C27" s="55">
        <f t="shared" ca="1" si="1"/>
        <v>46302</v>
      </c>
      <c r="D27" s="55">
        <f t="shared" ca="1" si="2"/>
        <v>46322</v>
      </c>
      <c r="E27" s="57">
        <f t="shared" ca="1" si="3"/>
        <v>30</v>
      </c>
      <c r="F27" s="57">
        <f t="shared" ca="1" si="15"/>
        <v>89</v>
      </c>
      <c r="G27" s="58">
        <f t="shared" ca="1" si="4"/>
        <v>0.959024192</v>
      </c>
      <c r="H27" s="59">
        <f t="shared" ca="1" si="5"/>
        <v>10065.319751876801</v>
      </c>
      <c r="I27" s="59">
        <f t="shared" ca="1" si="0"/>
        <v>168.41</v>
      </c>
      <c r="J27" s="59">
        <f t="shared" ca="1" si="6"/>
        <v>142.96</v>
      </c>
      <c r="K27" s="59">
        <f t="shared" ca="1" si="7"/>
        <v>311.37</v>
      </c>
      <c r="L27" s="60">
        <f t="shared" ca="1" si="16"/>
        <v>9896.9097518768012</v>
      </c>
      <c r="M27" s="63">
        <f ca="1">IF($C$16&gt;=B27,(IF(((P27-(J27+(I26*-1)+1))&lt;=0),1,((SUM(I$24:$I27)-(SUM($N$23:$N$25)))))),"-")</f>
        <v>329.65999999999997</v>
      </c>
      <c r="N27" s="62">
        <f ca="1">IF($C$16&gt;=B27,(IF((M27&lt;=0),1,((SUM($I$24:I27)-(SUM($N$23:N26)))))),"-")</f>
        <v>168.40999999999997</v>
      </c>
      <c r="O27" s="59">
        <f t="shared" ca="1" si="8"/>
        <v>142.96000000000004</v>
      </c>
      <c r="P27" s="60">
        <f t="shared" ca="1" si="9"/>
        <v>311.37</v>
      </c>
      <c r="Q27" s="102">
        <f t="shared" ca="1" si="10"/>
        <v>311.37</v>
      </c>
      <c r="S27" s="103" t="str">
        <f t="shared" ca="1" si="11"/>
        <v>2026/10/07</v>
      </c>
      <c r="T27" s="97" t="str">
        <f t="shared" ca="1" si="12"/>
        <v>2026</v>
      </c>
      <c r="U27" s="97" t="str">
        <f t="shared" ca="1" si="13"/>
        <v>10</v>
      </c>
      <c r="V27" s="97" t="str">
        <f t="shared" ca="1" si="14"/>
        <v>07</v>
      </c>
    </row>
    <row r="28" spans="2:24">
      <c r="B28" s="54">
        <v>5</v>
      </c>
      <c r="C28" s="55">
        <f t="shared" ca="1" si="1"/>
        <v>46333</v>
      </c>
      <c r="D28" s="55">
        <f t="shared" ca="1" si="2"/>
        <v>46353</v>
      </c>
      <c r="E28" s="57">
        <f t="shared" ca="1" si="3"/>
        <v>31</v>
      </c>
      <c r="F28" s="57">
        <f t="shared" ca="1" si="15"/>
        <v>120</v>
      </c>
      <c r="G28" s="58">
        <f t="shared" ca="1" si="4"/>
        <v>0.945149554</v>
      </c>
      <c r="H28" s="59">
        <f t="shared" ca="1" si="5"/>
        <v>9896.9097518768012</v>
      </c>
      <c r="I28" s="59">
        <f t="shared" ca="1" si="0"/>
        <v>166.09</v>
      </c>
      <c r="J28" s="59">
        <f t="shared" ca="1" si="6"/>
        <v>145.28</v>
      </c>
      <c r="K28" s="59">
        <f t="shared" ca="1" si="7"/>
        <v>311.37</v>
      </c>
      <c r="L28" s="60">
        <f t="shared" ca="1" si="16"/>
        <v>9730.8197518768011</v>
      </c>
      <c r="M28" s="63">
        <f ca="1">IF($C$16&gt;=B28,(IF(((P28-(J28+(I27*-1)+1))&lt;=0),1,((SUM(I$24:$I28)-(SUM($N$23:$N$25)))))),"-")</f>
        <v>495.74999999999989</v>
      </c>
      <c r="N28" s="62">
        <f ca="1">IF($C$16&gt;=B28,(IF((M28&lt;=0),1,((SUM($I$24:I28)-(SUM($N$23:N27)))))),"-")</f>
        <v>166.08999999999992</v>
      </c>
      <c r="O28" s="59">
        <f t="shared" ca="1" si="8"/>
        <v>145.28000000000009</v>
      </c>
      <c r="P28" s="60">
        <f t="shared" ca="1" si="9"/>
        <v>311.37</v>
      </c>
      <c r="Q28" s="102">
        <f t="shared" ca="1" si="10"/>
        <v>311.37</v>
      </c>
      <c r="S28" s="103" t="str">
        <f t="shared" ca="1" si="11"/>
        <v>2026/11/07</v>
      </c>
      <c r="T28" s="97" t="str">
        <f t="shared" ca="1" si="12"/>
        <v>2026</v>
      </c>
      <c r="U28" s="97" t="str">
        <f t="shared" ca="1" si="13"/>
        <v>11</v>
      </c>
      <c r="V28" s="97" t="str">
        <f t="shared" ca="1" si="14"/>
        <v>07</v>
      </c>
    </row>
    <row r="29" spans="2:24" ht="11.25" customHeight="1">
      <c r="B29" s="54">
        <v>6</v>
      </c>
      <c r="C29" s="55">
        <f t="shared" ca="1" si="1"/>
        <v>46363</v>
      </c>
      <c r="D29" s="55">
        <f t="shared" ca="1" si="2"/>
        <v>46383</v>
      </c>
      <c r="E29" s="57">
        <f t="shared" ca="1" si="3"/>
        <v>30</v>
      </c>
      <c r="F29" s="57">
        <f t="shared" ca="1" si="15"/>
        <v>150</v>
      </c>
      <c r="G29" s="58">
        <f t="shared" ca="1" si="4"/>
        <v>0.93191363800000004</v>
      </c>
      <c r="H29" s="59">
        <f t="shared" ca="1" si="5"/>
        <v>9730.8197518768011</v>
      </c>
      <c r="I29" s="59">
        <f t="shared" ca="1" si="0"/>
        <v>173.16</v>
      </c>
      <c r="J29" s="59">
        <f t="shared" ca="1" si="6"/>
        <v>138.21</v>
      </c>
      <c r="K29" s="59">
        <f t="shared" ca="1" si="7"/>
        <v>311.37</v>
      </c>
      <c r="L29" s="60">
        <f t="shared" ca="1" si="16"/>
        <v>9557.6597518768012</v>
      </c>
      <c r="M29" s="63">
        <f ca="1">IF($C$16&gt;=B29,(IF(((P29-(J29+(I28*-1)+1))&lt;=0),1,((SUM(I$24:$I29)-(SUM($N$23:$N$25)))))),"-")</f>
        <v>668.91</v>
      </c>
      <c r="N29" s="62">
        <f ca="1">IF($C$16&gt;=B29,(IF((M29&lt;=0),1,((SUM($I$24:I29)-(SUM($N$23:N28)))))),"-")</f>
        <v>173.16000000000008</v>
      </c>
      <c r="O29" s="59">
        <f t="shared" ca="1" si="8"/>
        <v>138.20999999999992</v>
      </c>
      <c r="P29" s="60">
        <f t="shared" ca="1" si="9"/>
        <v>311.37</v>
      </c>
      <c r="Q29" s="102">
        <f t="shared" ca="1" si="10"/>
        <v>311.37</v>
      </c>
      <c r="S29" s="103" t="str">
        <f t="shared" ca="1" si="11"/>
        <v>2026/12/07</v>
      </c>
      <c r="T29" s="97" t="str">
        <f t="shared" ca="1" si="12"/>
        <v>2026</v>
      </c>
      <c r="U29" s="97" t="str">
        <f t="shared" ca="1" si="13"/>
        <v>12</v>
      </c>
      <c r="V29" s="97" t="str">
        <f t="shared" ca="1" si="14"/>
        <v>07</v>
      </c>
    </row>
    <row r="30" spans="2:24">
      <c r="B30" s="54">
        <v>7</v>
      </c>
      <c r="C30" s="55">
        <f t="shared" ca="1" si="1"/>
        <v>46394</v>
      </c>
      <c r="D30" s="55">
        <f t="shared" ca="1" si="2"/>
        <v>46414</v>
      </c>
      <c r="E30" s="57">
        <f t="shared" ca="1" si="3"/>
        <v>31</v>
      </c>
      <c r="F30" s="57">
        <f t="shared" ca="1" si="15"/>
        <v>181</v>
      </c>
      <c r="G30" s="58">
        <f t="shared" ca="1" si="4"/>
        <v>0.91843122099999996</v>
      </c>
      <c r="H30" s="59">
        <f t="shared" ca="1" si="5"/>
        <v>9557.6597518768012</v>
      </c>
      <c r="I30" s="59">
        <f t="shared" ca="1" si="0"/>
        <v>171.07</v>
      </c>
      <c r="J30" s="59">
        <f t="shared" ca="1" si="6"/>
        <v>140.30000000000001</v>
      </c>
      <c r="K30" s="59">
        <f t="shared" ca="1" si="7"/>
        <v>311.37</v>
      </c>
      <c r="L30" s="60">
        <f t="shared" ca="1" si="16"/>
        <v>9386.5897518768015</v>
      </c>
      <c r="M30" s="63">
        <f ca="1">IF($C$16&gt;=B30,(IF(((P30-(J30+(I29*-1)+1))&lt;=0),1,((SUM(I$24:$I30)-(SUM($N$23:$N$25)))))),"-")</f>
        <v>839.9799999999999</v>
      </c>
      <c r="N30" s="62">
        <f ca="1">IF($C$16&gt;=B30,(IF((M30&lt;=0),1,((SUM($I$24:I30)-(SUM($N$23:N29)))))),"-")</f>
        <v>171.06999999999994</v>
      </c>
      <c r="O30" s="59">
        <f t="shared" ca="1" si="8"/>
        <v>140.30000000000007</v>
      </c>
      <c r="P30" s="60">
        <f t="shared" ca="1" si="9"/>
        <v>311.37</v>
      </c>
      <c r="Q30" s="102">
        <f t="shared" ca="1" si="10"/>
        <v>311.37</v>
      </c>
      <c r="S30" s="103" t="str">
        <f t="shared" ca="1" si="11"/>
        <v>2027/01/07</v>
      </c>
      <c r="T30" s="97" t="str">
        <f t="shared" ca="1" si="12"/>
        <v>2027</v>
      </c>
      <c r="U30" s="97" t="str">
        <f t="shared" ca="1" si="13"/>
        <v>01</v>
      </c>
      <c r="V30" s="97" t="str">
        <f t="shared" ca="1" si="14"/>
        <v>07</v>
      </c>
    </row>
    <row r="31" spans="2:24">
      <c r="B31" s="54">
        <v>8</v>
      </c>
      <c r="C31" s="55">
        <f t="shared" ca="1" si="1"/>
        <v>46425</v>
      </c>
      <c r="D31" s="55">
        <f t="shared" ca="1" si="2"/>
        <v>46445</v>
      </c>
      <c r="E31" s="57">
        <f t="shared" ca="1" si="3"/>
        <v>31</v>
      </c>
      <c r="F31" s="57">
        <f t="shared" ca="1" si="15"/>
        <v>212</v>
      </c>
      <c r="G31" s="58">
        <f t="shared" ca="1" si="4"/>
        <v>0.90514386000000002</v>
      </c>
      <c r="H31" s="59">
        <f t="shared" ca="1" si="5"/>
        <v>9386.5897518768015</v>
      </c>
      <c r="I31" s="59">
        <f t="shared" ca="1" si="0"/>
        <v>173.58</v>
      </c>
      <c r="J31" s="59">
        <f t="shared" ca="1" si="6"/>
        <v>137.79</v>
      </c>
      <c r="K31" s="59">
        <f t="shared" ca="1" si="7"/>
        <v>311.37</v>
      </c>
      <c r="L31" s="60">
        <f t="shared" ca="1" si="16"/>
        <v>9213.0097518768016</v>
      </c>
      <c r="M31" s="63">
        <f ca="1">IF($C$16&gt;=B31,(IF(((P31-(J31+(I30*-1)+1))&lt;=0),1,((SUM(I$24:$I31)-(SUM($N$23:$N$25)))))),"-")</f>
        <v>1013.5599999999998</v>
      </c>
      <c r="N31" s="62">
        <f ca="1">IF($C$16&gt;=B31,(IF((M31&lt;=0),1,((SUM($I$24:I31)-(SUM($N$23:N30)))))),"-")</f>
        <v>173.57999999999993</v>
      </c>
      <c r="O31" s="59">
        <f t="shared" ca="1" si="8"/>
        <v>137.79000000000008</v>
      </c>
      <c r="P31" s="60">
        <f t="shared" ca="1" si="9"/>
        <v>311.37</v>
      </c>
      <c r="Q31" s="102">
        <f t="shared" ca="1" si="10"/>
        <v>311.37</v>
      </c>
      <c r="S31" s="103" t="str">
        <f t="shared" ca="1" si="11"/>
        <v>2027/02/07</v>
      </c>
      <c r="T31" s="97" t="str">
        <f t="shared" ca="1" si="12"/>
        <v>2027</v>
      </c>
      <c r="U31" s="97" t="str">
        <f t="shared" ca="1" si="13"/>
        <v>02</v>
      </c>
      <c r="V31" s="97" t="str">
        <f t="shared" ca="1" si="14"/>
        <v>07</v>
      </c>
    </row>
    <row r="32" spans="2:24">
      <c r="B32" s="54">
        <v>9</v>
      </c>
      <c r="C32" s="55">
        <f t="shared" ca="1" si="1"/>
        <v>46453</v>
      </c>
      <c r="D32" s="55">
        <f t="shared" ca="1" si="2"/>
        <v>46473</v>
      </c>
      <c r="E32" s="57">
        <f t="shared" ca="1" si="3"/>
        <v>28</v>
      </c>
      <c r="F32" s="57">
        <f t="shared" ca="1" si="15"/>
        <v>240</v>
      </c>
      <c r="G32" s="58">
        <f t="shared" ca="1" si="4"/>
        <v>0.89330768000000005</v>
      </c>
      <c r="H32" s="59">
        <f t="shared" ca="1" si="5"/>
        <v>9213.0097518768016</v>
      </c>
      <c r="I32" s="59">
        <f t="shared" ca="1" si="0"/>
        <v>189.3</v>
      </c>
      <c r="J32" s="59">
        <f t="shared" ca="1" si="6"/>
        <v>122.07</v>
      </c>
      <c r="K32" s="59">
        <f t="shared" ca="1" si="7"/>
        <v>311.37</v>
      </c>
      <c r="L32" s="60">
        <f t="shared" ca="1" si="16"/>
        <v>9023.7097518768023</v>
      </c>
      <c r="M32" s="63">
        <f ca="1">IF($C$16&gt;=B32,(IF(((P32-(J32+(I31*-1)+1))&lt;=0),1,((SUM(I$24:$I32)-(SUM($N$23:$N$25)))))),"-")</f>
        <v>1202.8599999999997</v>
      </c>
      <c r="N32" s="62">
        <f ca="1">IF($C$16&gt;=B32,(IF((M32&lt;=0),1,((SUM($I$24:I32)-(SUM($N$23:N31)))))),"-")</f>
        <v>189.29999999999995</v>
      </c>
      <c r="O32" s="59">
        <f t="shared" ca="1" si="8"/>
        <v>122.07000000000005</v>
      </c>
      <c r="P32" s="60">
        <f t="shared" ca="1" si="9"/>
        <v>311.37</v>
      </c>
      <c r="Q32" s="102">
        <f t="shared" ca="1" si="10"/>
        <v>311.37</v>
      </c>
      <c r="S32" s="103" t="str">
        <f t="shared" ca="1" si="11"/>
        <v>2027/03/07</v>
      </c>
      <c r="T32" s="97" t="str">
        <f t="shared" ca="1" si="12"/>
        <v>2027</v>
      </c>
      <c r="U32" s="97" t="str">
        <f t="shared" ca="1" si="13"/>
        <v>03</v>
      </c>
      <c r="V32" s="97" t="str">
        <f t="shared" ca="1" si="14"/>
        <v>07</v>
      </c>
    </row>
    <row r="33" spans="2:22">
      <c r="B33" s="54">
        <v>10</v>
      </c>
      <c r="C33" s="55">
        <f t="shared" ca="1" si="1"/>
        <v>46484</v>
      </c>
      <c r="D33" s="55">
        <f t="shared" ca="1" si="2"/>
        <v>46504</v>
      </c>
      <c r="E33" s="57">
        <f t="shared" ca="1" si="3"/>
        <v>31</v>
      </c>
      <c r="F33" s="57">
        <f t="shared" ca="1" si="15"/>
        <v>271</v>
      </c>
      <c r="G33" s="58">
        <f t="shared" ca="1" si="4"/>
        <v>0.88038379200000005</v>
      </c>
      <c r="H33" s="59">
        <f t="shared" ca="1" si="5"/>
        <v>9023.7097518768023</v>
      </c>
      <c r="I33" s="59">
        <f t="shared" ca="1" si="0"/>
        <v>178.9</v>
      </c>
      <c r="J33" s="59">
        <f t="shared" ca="1" si="6"/>
        <v>132.47</v>
      </c>
      <c r="K33" s="59">
        <f t="shared" ca="1" si="7"/>
        <v>311.37</v>
      </c>
      <c r="L33" s="60">
        <f t="shared" ca="1" si="16"/>
        <v>8844.8097518768027</v>
      </c>
      <c r="M33" s="63">
        <f ca="1">IF($C$16&gt;=B33,(IF(((P33-(J33+(I32*-1)+1))&lt;=0),1,((SUM(I$24:$I33)-(SUM($N$23:$N$25)))))),"-")</f>
        <v>1381.7599999999998</v>
      </c>
      <c r="N33" s="62">
        <f ca="1">IF($C$16&gt;=B33,(IF((M33&lt;=0),1,((SUM($I$24:I33)-(SUM($N$23:N32)))))),"-")</f>
        <v>178.89999999999986</v>
      </c>
      <c r="O33" s="59">
        <f t="shared" ca="1" si="8"/>
        <v>132.47000000000014</v>
      </c>
      <c r="P33" s="60">
        <f t="shared" ca="1" si="9"/>
        <v>311.37</v>
      </c>
      <c r="Q33" s="102">
        <f t="shared" ca="1" si="10"/>
        <v>311.37</v>
      </c>
      <c r="S33" s="103" t="str">
        <f t="shared" ca="1" si="11"/>
        <v>2027/04/07</v>
      </c>
      <c r="T33" s="97" t="str">
        <f t="shared" ca="1" si="12"/>
        <v>2027</v>
      </c>
      <c r="U33" s="97" t="str">
        <f t="shared" ca="1" si="13"/>
        <v>04</v>
      </c>
      <c r="V33" s="97" t="str">
        <f t="shared" ca="1" si="14"/>
        <v>07</v>
      </c>
    </row>
    <row r="34" spans="2:22">
      <c r="B34" s="54">
        <v>11</v>
      </c>
      <c r="C34" s="55">
        <f t="shared" ca="1" si="1"/>
        <v>46514</v>
      </c>
      <c r="D34" s="55">
        <f t="shared" ca="1" si="2"/>
        <v>46534</v>
      </c>
      <c r="E34" s="57">
        <f t="shared" ca="1" si="3"/>
        <v>30</v>
      </c>
      <c r="F34" s="57">
        <f t="shared" ca="1" si="15"/>
        <v>301</v>
      </c>
      <c r="G34" s="58">
        <f t="shared" ca="1" si="4"/>
        <v>0.86805485900000001</v>
      </c>
      <c r="H34" s="59">
        <f t="shared" ca="1" si="5"/>
        <v>8844.8097518768027</v>
      </c>
      <c r="I34" s="59">
        <f t="shared" ca="1" si="0"/>
        <v>185.75</v>
      </c>
      <c r="J34" s="59">
        <f t="shared" ca="1" si="6"/>
        <v>125.62</v>
      </c>
      <c r="K34" s="59">
        <f t="shared" ca="1" si="7"/>
        <v>311.37</v>
      </c>
      <c r="L34" s="60">
        <f t="shared" ca="1" si="16"/>
        <v>8659.0597518768027</v>
      </c>
      <c r="M34" s="63">
        <f ca="1">IF($C$16&gt;=B34,(IF(((P34-(J34+(I33*-1)+1))&lt;=0),1,((SUM(I$24:$I34)-(SUM($N$23:$N$25)))))),"-")</f>
        <v>1567.5099999999998</v>
      </c>
      <c r="N34" s="62">
        <f ca="1">IF($C$16&gt;=B34,(IF((M34&lt;=0),1,((SUM($I$24:I34)-(SUM($N$23:N33)))))),"-")</f>
        <v>185.75</v>
      </c>
      <c r="O34" s="59">
        <f t="shared" ca="1" si="8"/>
        <v>125.62</v>
      </c>
      <c r="P34" s="60">
        <f t="shared" ca="1" si="9"/>
        <v>311.37</v>
      </c>
      <c r="Q34" s="102">
        <f t="shared" ca="1" si="10"/>
        <v>311.37</v>
      </c>
      <c r="S34" s="103" t="str">
        <f t="shared" ca="1" si="11"/>
        <v>2027/05/07</v>
      </c>
      <c r="T34" s="97" t="str">
        <f t="shared" ca="1" si="12"/>
        <v>2027</v>
      </c>
      <c r="U34" s="97" t="str">
        <f t="shared" ca="1" si="13"/>
        <v>05</v>
      </c>
      <c r="V34" s="97" t="str">
        <f t="shared" ca="1" si="14"/>
        <v>07</v>
      </c>
    </row>
    <row r="35" spans="2:22">
      <c r="B35" s="54">
        <v>12</v>
      </c>
      <c r="C35" s="55">
        <f t="shared" ca="1" si="1"/>
        <v>46545</v>
      </c>
      <c r="D35" s="55">
        <f t="shared" ca="1" si="2"/>
        <v>46565</v>
      </c>
      <c r="E35" s="57">
        <f t="shared" ca="1" si="3"/>
        <v>31</v>
      </c>
      <c r="F35" s="57">
        <f t="shared" ca="1" si="15"/>
        <v>332</v>
      </c>
      <c r="G35" s="58">
        <f t="shared" ca="1" si="4"/>
        <v>0.85549631500000001</v>
      </c>
      <c r="H35" s="59">
        <f t="shared" ca="1" si="5"/>
        <v>8659.0597518768027</v>
      </c>
      <c r="I35" s="59">
        <f t="shared" ca="1" si="0"/>
        <v>184.26</v>
      </c>
      <c r="J35" s="59">
        <f t="shared" ca="1" si="6"/>
        <v>127.11</v>
      </c>
      <c r="K35" s="59">
        <f t="shared" ca="1" si="7"/>
        <v>311.37</v>
      </c>
      <c r="L35" s="60">
        <f t="shared" ca="1" si="16"/>
        <v>8474.7997518768025</v>
      </c>
      <c r="M35" s="63">
        <f ca="1">IF($C$16&gt;=B35,(IF(((P35-(J35+(I34*-1)+1))&lt;=0),1,((SUM(I$24:$I35)-(SUM($N$23:$N$25)))))),"-")</f>
        <v>1751.77</v>
      </c>
      <c r="N35" s="62">
        <f ca="1">IF($C$16&gt;=B35,(IF((M35&lt;=0),1,((SUM($I$24:I35)-(SUM($N$23:N34)))))),"-")</f>
        <v>184.26000000000022</v>
      </c>
      <c r="O35" s="59">
        <f t="shared" ca="1" si="8"/>
        <v>127.10999999999979</v>
      </c>
      <c r="P35" s="60">
        <f t="shared" ca="1" si="9"/>
        <v>311.37</v>
      </c>
      <c r="Q35" s="102">
        <f t="shared" ca="1" si="10"/>
        <v>311.37</v>
      </c>
      <c r="S35" s="103" t="str">
        <f t="shared" ca="1" si="11"/>
        <v>2027/06/07</v>
      </c>
      <c r="T35" s="97" t="str">
        <f t="shared" ca="1" si="12"/>
        <v>2027</v>
      </c>
      <c r="U35" s="97" t="str">
        <f t="shared" ca="1" si="13"/>
        <v>06</v>
      </c>
      <c r="V35" s="97" t="str">
        <f t="shared" ca="1" si="14"/>
        <v>07</v>
      </c>
    </row>
    <row r="36" spans="2:22">
      <c r="B36" s="54">
        <v>13</v>
      </c>
      <c r="C36" s="55">
        <f t="shared" ca="1" si="1"/>
        <v>46575</v>
      </c>
      <c r="D36" s="55">
        <f t="shared" ca="1" si="2"/>
        <v>46595</v>
      </c>
      <c r="E36" s="57">
        <f t="shared" ca="1" si="3"/>
        <v>30</v>
      </c>
      <c r="F36" s="57">
        <f t="shared" ca="1" si="15"/>
        <v>362</v>
      </c>
      <c r="G36" s="58">
        <f t="shared" ca="1" si="4"/>
        <v>0.84351590700000001</v>
      </c>
      <c r="H36" s="59">
        <f t="shared" ca="1" si="5"/>
        <v>8474.7997518768025</v>
      </c>
      <c r="I36" s="59">
        <f t="shared" ca="1" si="0"/>
        <v>191</v>
      </c>
      <c r="J36" s="59">
        <f t="shared" ca="1" si="6"/>
        <v>120.37</v>
      </c>
      <c r="K36" s="59">
        <f t="shared" ca="1" si="7"/>
        <v>311.37</v>
      </c>
      <c r="L36" s="60">
        <f t="shared" ca="1" si="16"/>
        <v>8283.7997518768025</v>
      </c>
      <c r="M36" s="63">
        <f ca="1">IF($C$16&gt;=B36,(IF(((P36-(J36+(I35*-1)+1))&lt;=0),1,((SUM(I$24:$I36)-(SUM($N$23:$N$25)))))),"-")</f>
        <v>1942.77</v>
      </c>
      <c r="N36" s="62">
        <f ca="1">IF($C$16&gt;=B36,(IF((M36&lt;=0),1,((SUM($I$24:I36)-(SUM($N$23:N35)))))),"-")</f>
        <v>191</v>
      </c>
      <c r="O36" s="59">
        <f t="shared" ca="1" si="8"/>
        <v>120.37</v>
      </c>
      <c r="P36" s="60">
        <f t="shared" ca="1" si="9"/>
        <v>311.37</v>
      </c>
      <c r="Q36" s="102">
        <f t="shared" ca="1" si="10"/>
        <v>311.37</v>
      </c>
      <c r="S36" s="103" t="str">
        <f t="shared" ca="1" si="11"/>
        <v>2027/07/07</v>
      </c>
      <c r="T36" s="97" t="str">
        <f t="shared" ca="1" si="12"/>
        <v>2027</v>
      </c>
      <c r="U36" s="97" t="str">
        <f t="shared" ca="1" si="13"/>
        <v>07</v>
      </c>
      <c r="V36" s="97" t="str">
        <f t="shared" ca="1" si="14"/>
        <v>07</v>
      </c>
    </row>
    <row r="37" spans="2:22">
      <c r="B37" s="54">
        <v>14</v>
      </c>
      <c r="C37" s="55">
        <f t="shared" ca="1" si="1"/>
        <v>46606</v>
      </c>
      <c r="D37" s="55">
        <f t="shared" ca="1" si="2"/>
        <v>46626</v>
      </c>
      <c r="E37" s="57">
        <f t="shared" ca="1" si="3"/>
        <v>31</v>
      </c>
      <c r="F37" s="57">
        <f t="shared" ca="1" si="15"/>
        <v>393</v>
      </c>
      <c r="G37" s="58">
        <f t="shared" ca="1" si="4"/>
        <v>0.83131237999999996</v>
      </c>
      <c r="H37" s="59">
        <f t="shared" ca="1" si="5"/>
        <v>8283.7997518768025</v>
      </c>
      <c r="I37" s="59">
        <f t="shared" ca="1" si="0"/>
        <v>189.77</v>
      </c>
      <c r="J37" s="59">
        <f t="shared" ca="1" si="6"/>
        <v>121.6</v>
      </c>
      <c r="K37" s="59">
        <f t="shared" ca="1" si="7"/>
        <v>311.37</v>
      </c>
      <c r="L37" s="60">
        <f t="shared" ca="1" si="16"/>
        <v>8094.029751876802</v>
      </c>
      <c r="M37" s="63">
        <f ca="1">IF($C$16&gt;=B37,(IF(((P37-(J37+(I36*-1)+1))&lt;=0),1,((SUM(I$24:$I37)-(SUM($N$23:$N$25)))))),"-")</f>
        <v>2132.54</v>
      </c>
      <c r="N37" s="62">
        <f ca="1">IF($C$16&gt;=B37,(IF((M37&lt;=0),1,((SUM($I$24:I37)-(SUM($N$23:N36)))))),"-")</f>
        <v>189.76999999999998</v>
      </c>
      <c r="O37" s="59">
        <f t="shared" ca="1" si="8"/>
        <v>121.60000000000002</v>
      </c>
      <c r="P37" s="60">
        <f t="shared" ca="1" si="9"/>
        <v>311.37</v>
      </c>
      <c r="Q37" s="102">
        <f t="shared" ca="1" si="10"/>
        <v>311.37</v>
      </c>
      <c r="S37" s="103" t="str">
        <f t="shared" ca="1" si="11"/>
        <v>2027/08/07</v>
      </c>
      <c r="T37" s="97" t="str">
        <f t="shared" ca="1" si="12"/>
        <v>2027</v>
      </c>
      <c r="U37" s="97" t="str">
        <f t="shared" ca="1" si="13"/>
        <v>08</v>
      </c>
      <c r="V37" s="97" t="str">
        <f t="shared" ca="1" si="14"/>
        <v>07</v>
      </c>
    </row>
    <row r="38" spans="2:22">
      <c r="B38" s="54">
        <v>15</v>
      </c>
      <c r="C38" s="55">
        <f t="shared" ca="1" si="1"/>
        <v>46637</v>
      </c>
      <c r="D38" s="55">
        <f t="shared" ca="1" si="2"/>
        <v>46657</v>
      </c>
      <c r="E38" s="57">
        <f t="shared" ca="1" si="3"/>
        <v>31</v>
      </c>
      <c r="F38" s="57">
        <f t="shared" ca="1" si="15"/>
        <v>424</v>
      </c>
      <c r="G38" s="58">
        <f t="shared" ca="1" si="4"/>
        <v>0.81928540699999997</v>
      </c>
      <c r="H38" s="59">
        <f t="shared" ca="1" si="5"/>
        <v>8094.029751876802</v>
      </c>
      <c r="I38" s="59">
        <f t="shared" ca="1" si="0"/>
        <v>192.55</v>
      </c>
      <c r="J38" s="59">
        <f t="shared" ca="1" si="6"/>
        <v>118.82</v>
      </c>
      <c r="K38" s="59">
        <f t="shared" ca="1" si="7"/>
        <v>311.37</v>
      </c>
      <c r="L38" s="60">
        <f t="shared" ca="1" si="16"/>
        <v>7901.4797518768019</v>
      </c>
      <c r="M38" s="63">
        <f ca="1">IF($C$16&gt;=B38,(IF(((P38-(J38+(I37*-1)+1))&lt;=0),1,((SUM(I$24:$I38)-(SUM($N$23:$N$25)))))),"-")</f>
        <v>2325.09</v>
      </c>
      <c r="N38" s="62">
        <f ca="1">IF($C$16&gt;=B38,(IF((M38&lt;=0),1,((SUM($I$24:I38)-(SUM($N$23:N37)))))),"-")</f>
        <v>192.55000000000018</v>
      </c>
      <c r="O38" s="59">
        <f t="shared" ca="1" si="8"/>
        <v>118.81999999999982</v>
      </c>
      <c r="P38" s="60">
        <f t="shared" ca="1" si="9"/>
        <v>311.37</v>
      </c>
      <c r="Q38" s="102">
        <f t="shared" ca="1" si="10"/>
        <v>311.37</v>
      </c>
      <c r="S38" s="103" t="str">
        <f t="shared" ca="1" si="11"/>
        <v>2027/09/07</v>
      </c>
      <c r="T38" s="97" t="str">
        <f t="shared" ca="1" si="12"/>
        <v>2027</v>
      </c>
      <c r="U38" s="97" t="str">
        <f t="shared" ca="1" si="13"/>
        <v>09</v>
      </c>
      <c r="V38" s="97" t="str">
        <f t="shared" ca="1" si="14"/>
        <v>07</v>
      </c>
    </row>
    <row r="39" spans="2:22">
      <c r="B39" s="54">
        <v>16</v>
      </c>
      <c r="C39" s="55">
        <f t="shared" ca="1" si="1"/>
        <v>46667</v>
      </c>
      <c r="D39" s="55">
        <f t="shared" ca="1" si="2"/>
        <v>46687</v>
      </c>
      <c r="E39" s="57">
        <f t="shared" ca="1" si="3"/>
        <v>30</v>
      </c>
      <c r="F39" s="57">
        <f t="shared" ca="1" si="15"/>
        <v>454</v>
      </c>
      <c r="G39" s="58">
        <f t="shared" ca="1" si="4"/>
        <v>0.80781209799999998</v>
      </c>
      <c r="H39" s="59">
        <f t="shared" ca="1" si="5"/>
        <v>7901.4797518768019</v>
      </c>
      <c r="I39" s="59">
        <f t="shared" ca="1" si="0"/>
        <v>199.15</v>
      </c>
      <c r="J39" s="59">
        <f t="shared" ca="1" si="6"/>
        <v>112.22</v>
      </c>
      <c r="K39" s="59">
        <f t="shared" ca="1" si="7"/>
        <v>311.37</v>
      </c>
      <c r="L39" s="60">
        <f t="shared" ca="1" si="16"/>
        <v>7702.3297518768022</v>
      </c>
      <c r="M39" s="63">
        <f ca="1">IF($C$16&gt;=B39,(IF(((P39-(J39+(I38*-1)+1))&lt;=0),1,((SUM(I$24:$I39)-(SUM($N$23:$N$25)))))),"-")</f>
        <v>2524.2400000000002</v>
      </c>
      <c r="N39" s="62">
        <f ca="1">IF($C$16&gt;=B39,(IF((M39&lt;=0),1,((SUM($I$24:I39)-(SUM($N$23:N38)))))),"-")</f>
        <v>199.15000000000009</v>
      </c>
      <c r="O39" s="59">
        <f t="shared" ca="1" si="8"/>
        <v>112.21999999999991</v>
      </c>
      <c r="P39" s="60">
        <f t="shared" ca="1" si="9"/>
        <v>311.37</v>
      </c>
      <c r="Q39" s="102">
        <f t="shared" ca="1" si="10"/>
        <v>311.37</v>
      </c>
      <c r="S39" s="103" t="str">
        <f t="shared" ca="1" si="11"/>
        <v>2027/10/07</v>
      </c>
      <c r="T39" s="97" t="str">
        <f t="shared" ca="1" si="12"/>
        <v>2027</v>
      </c>
      <c r="U39" s="97" t="str">
        <f t="shared" ca="1" si="13"/>
        <v>10</v>
      </c>
      <c r="V39" s="97" t="str">
        <f t="shared" ca="1" si="14"/>
        <v>07</v>
      </c>
    </row>
    <row r="40" spans="2:22">
      <c r="B40" s="54">
        <v>17</v>
      </c>
      <c r="C40" s="55">
        <f t="shared" ca="1" si="1"/>
        <v>46698</v>
      </c>
      <c r="D40" s="55">
        <f t="shared" ca="1" si="2"/>
        <v>46718</v>
      </c>
      <c r="E40" s="57">
        <f t="shared" ca="1" si="3"/>
        <v>31</v>
      </c>
      <c r="F40" s="57">
        <f t="shared" ca="1" si="15"/>
        <v>485</v>
      </c>
      <c r="G40" s="58">
        <f t="shared" ca="1" si="4"/>
        <v>0.79612511399999997</v>
      </c>
      <c r="H40" s="59">
        <f t="shared" ca="1" si="5"/>
        <v>7702.3297518768022</v>
      </c>
      <c r="I40" s="59">
        <f t="shared" ca="1" si="0"/>
        <v>198.3</v>
      </c>
      <c r="J40" s="59">
        <f t="shared" ca="1" si="6"/>
        <v>113.07</v>
      </c>
      <c r="K40" s="59">
        <f t="shared" ca="1" si="7"/>
        <v>311.37</v>
      </c>
      <c r="L40" s="60">
        <f t="shared" ca="1" si="16"/>
        <v>7504.029751876802</v>
      </c>
      <c r="M40" s="63">
        <f ca="1">IF($C$16&gt;=B40,(IF(((P40-(J40+(I39*-1)+1))&lt;=0),1,((SUM(I$24:$I40)-(SUM($N$23:$N$25)))))),"-")</f>
        <v>2722.5400000000004</v>
      </c>
      <c r="N40" s="62">
        <f ca="1">IF($C$16&gt;=B40,(IF((M40&lt;=0),1,((SUM($I$24:I40)-(SUM($N$23:N39)))))),"-")</f>
        <v>198.30000000000018</v>
      </c>
      <c r="O40" s="59">
        <f t="shared" ca="1" si="8"/>
        <v>113.06999999999982</v>
      </c>
      <c r="P40" s="60">
        <f t="shared" ca="1" si="9"/>
        <v>311.37</v>
      </c>
      <c r="Q40" s="102">
        <f t="shared" ca="1" si="10"/>
        <v>311.37</v>
      </c>
      <c r="S40" s="103" t="str">
        <f t="shared" ca="1" si="11"/>
        <v>2027/11/07</v>
      </c>
      <c r="T40" s="97" t="str">
        <f t="shared" ca="1" si="12"/>
        <v>2027</v>
      </c>
      <c r="U40" s="97" t="str">
        <f t="shared" ca="1" si="13"/>
        <v>11</v>
      </c>
      <c r="V40" s="97" t="str">
        <f t="shared" ca="1" si="14"/>
        <v>07</v>
      </c>
    </row>
    <row r="41" spans="2:22">
      <c r="B41" s="54">
        <v>18</v>
      </c>
      <c r="C41" s="55">
        <f t="shared" ca="1" si="1"/>
        <v>46728</v>
      </c>
      <c r="D41" s="55">
        <f t="shared" ca="1" si="2"/>
        <v>46748</v>
      </c>
      <c r="E41" s="57">
        <f t="shared" ca="1" si="3"/>
        <v>30</v>
      </c>
      <c r="F41" s="57">
        <f t="shared" ca="1" si="15"/>
        <v>515</v>
      </c>
      <c r="G41" s="58">
        <f t="shared" ca="1" si="4"/>
        <v>0.78497614199999999</v>
      </c>
      <c r="H41" s="59">
        <f t="shared" ca="1" si="5"/>
        <v>7504.029751876802</v>
      </c>
      <c r="I41" s="59">
        <f t="shared" ca="1" si="0"/>
        <v>204.79000000000002</v>
      </c>
      <c r="J41" s="59">
        <f t="shared" ca="1" si="6"/>
        <v>106.58</v>
      </c>
      <c r="K41" s="59">
        <f t="shared" ca="1" si="7"/>
        <v>311.37</v>
      </c>
      <c r="L41" s="60">
        <f t="shared" ca="1" si="16"/>
        <v>7299.2397518768021</v>
      </c>
      <c r="M41" s="63">
        <f ca="1">IF($C$16&gt;=B41,(IF(((P41-(J41+(I40*-1)+1))&lt;=0),1,((SUM(I$24:$I41)-(SUM($N$23:$N$25)))))),"-")</f>
        <v>2927.3300000000004</v>
      </c>
      <c r="N41" s="62">
        <f ca="1">IF($C$16&gt;=B41,(IF((M41&lt;=0),1,((SUM($I$24:I41)-(SUM($N$23:N40)))))),"-")</f>
        <v>204.78999999999996</v>
      </c>
      <c r="O41" s="59">
        <f t="shared" ca="1" si="8"/>
        <v>106.58000000000004</v>
      </c>
      <c r="P41" s="60">
        <f t="shared" ca="1" si="9"/>
        <v>311.37</v>
      </c>
      <c r="Q41" s="102">
        <f t="shared" ca="1" si="10"/>
        <v>311.37</v>
      </c>
      <c r="S41" s="103" t="str">
        <f t="shared" ca="1" si="11"/>
        <v>2027/12/07</v>
      </c>
      <c r="T41" s="97" t="str">
        <f t="shared" ca="1" si="12"/>
        <v>2027</v>
      </c>
      <c r="U41" s="97" t="str">
        <f t="shared" ca="1" si="13"/>
        <v>12</v>
      </c>
      <c r="V41" s="97" t="str">
        <f t="shared" ca="1" si="14"/>
        <v>07</v>
      </c>
    </row>
    <row r="42" spans="2:22">
      <c r="B42" s="54">
        <v>19</v>
      </c>
      <c r="C42" s="55">
        <f t="shared" ca="1" si="1"/>
        <v>46759</v>
      </c>
      <c r="D42" s="55">
        <f t="shared" ca="1" si="2"/>
        <v>46779</v>
      </c>
      <c r="E42" s="57">
        <f t="shared" ca="1" si="3"/>
        <v>31</v>
      </c>
      <c r="F42" s="57">
        <f t="shared" ca="1" si="15"/>
        <v>546</v>
      </c>
      <c r="G42" s="58">
        <f t="shared" ca="1" si="4"/>
        <v>0.773619536</v>
      </c>
      <c r="H42" s="59">
        <f t="shared" ca="1" si="5"/>
        <v>7299.2397518768021</v>
      </c>
      <c r="I42" s="59">
        <f t="shared" ca="1" si="0"/>
        <v>204.22</v>
      </c>
      <c r="J42" s="59">
        <f t="shared" ca="1" si="6"/>
        <v>107.15</v>
      </c>
      <c r="K42" s="59">
        <f t="shared" ca="1" si="7"/>
        <v>311.37</v>
      </c>
      <c r="L42" s="60">
        <f t="shared" ca="1" si="16"/>
        <v>7095.0197518768018</v>
      </c>
      <c r="M42" s="63">
        <f ca="1">IF($C$16&gt;=B42,(IF(((P42-(J42+(I41*-1)+1))&lt;=0),1,((SUM(I$24:$I42)-(SUM($N$23:$N$25)))))),"-")</f>
        <v>3131.55</v>
      </c>
      <c r="N42" s="62">
        <f ca="1">IF($C$16&gt;=B42,(IF((M42&lt;=0),1,((SUM($I$24:I42)-(SUM($N$23:N41)))))),"-")</f>
        <v>204.2199999999998</v>
      </c>
      <c r="O42" s="59">
        <f t="shared" ca="1" si="8"/>
        <v>107.1500000000002</v>
      </c>
      <c r="P42" s="60">
        <f t="shared" ca="1" si="9"/>
        <v>311.37</v>
      </c>
      <c r="Q42" s="102">
        <f t="shared" ca="1" si="10"/>
        <v>311.37</v>
      </c>
      <c r="S42" s="103" t="str">
        <f t="shared" ca="1" si="11"/>
        <v>2028/01/07</v>
      </c>
      <c r="T42" s="97" t="str">
        <f t="shared" ca="1" si="12"/>
        <v>2028</v>
      </c>
      <c r="U42" s="97" t="str">
        <f t="shared" ca="1" si="13"/>
        <v>01</v>
      </c>
      <c r="V42" s="97" t="str">
        <f t="shared" ca="1" si="14"/>
        <v>07</v>
      </c>
    </row>
    <row r="43" spans="2:22">
      <c r="B43" s="54">
        <v>20</v>
      </c>
      <c r="C43" s="55">
        <f t="shared" ca="1" si="1"/>
        <v>46790</v>
      </c>
      <c r="D43" s="55">
        <f t="shared" ca="1" si="2"/>
        <v>46810</v>
      </c>
      <c r="E43" s="57">
        <f t="shared" ca="1" si="3"/>
        <v>31</v>
      </c>
      <c r="F43" s="57">
        <f t="shared" ca="1" si="15"/>
        <v>577</v>
      </c>
      <c r="G43" s="58">
        <f t="shared" ca="1" si="4"/>
        <v>0.76242723199999995</v>
      </c>
      <c r="H43" s="59">
        <f t="shared" ca="1" si="5"/>
        <v>7095.0197518768018</v>
      </c>
      <c r="I43" s="59">
        <f t="shared" ca="1" si="0"/>
        <v>207.22</v>
      </c>
      <c r="J43" s="59">
        <f t="shared" ca="1" si="6"/>
        <v>104.15</v>
      </c>
      <c r="K43" s="59">
        <f t="shared" ca="1" si="7"/>
        <v>311.37</v>
      </c>
      <c r="L43" s="60">
        <f t="shared" ca="1" si="16"/>
        <v>6887.7997518768016</v>
      </c>
      <c r="M43" s="63">
        <f ca="1">IF($C$16&gt;=B43,(IF(((P43-(J43+(I42*-1)+1))&lt;=0),1,((SUM(I$24:$I43)-(SUM($N$23:$N$25)))))),"-")</f>
        <v>3338.77</v>
      </c>
      <c r="N43" s="62">
        <f ca="1">IF($C$16&gt;=B43,(IF((M43&lt;=0),1,((SUM($I$24:I43)-(SUM($N$23:N42)))))),"-")</f>
        <v>207.2199999999998</v>
      </c>
      <c r="O43" s="59">
        <f t="shared" ca="1" si="8"/>
        <v>104.1500000000002</v>
      </c>
      <c r="P43" s="60">
        <f t="shared" ca="1" si="9"/>
        <v>311.37</v>
      </c>
      <c r="Q43" s="102">
        <f t="shared" ca="1" si="10"/>
        <v>311.37</v>
      </c>
      <c r="S43" s="103" t="str">
        <f t="shared" ca="1" si="11"/>
        <v>2028/02/07</v>
      </c>
      <c r="T43" s="97" t="str">
        <f t="shared" ca="1" si="12"/>
        <v>2028</v>
      </c>
      <c r="U43" s="97" t="str">
        <f t="shared" ca="1" si="13"/>
        <v>02</v>
      </c>
      <c r="V43" s="97" t="str">
        <f t="shared" ca="1" si="14"/>
        <v>07</v>
      </c>
    </row>
    <row r="44" spans="2:22">
      <c r="B44" s="54">
        <v>21</v>
      </c>
      <c r="C44" s="55">
        <f t="shared" ca="1" si="1"/>
        <v>46819</v>
      </c>
      <c r="D44" s="55">
        <f t="shared" ca="1" si="2"/>
        <v>46839</v>
      </c>
      <c r="E44" s="57">
        <f t="shared" ca="1" si="3"/>
        <v>29</v>
      </c>
      <c r="F44" s="57">
        <f t="shared" ca="1" si="15"/>
        <v>606</v>
      </c>
      <c r="G44" s="58">
        <f t="shared" ca="1" si="4"/>
        <v>0.75210364900000004</v>
      </c>
      <c r="H44" s="59">
        <f t="shared" ca="1" si="5"/>
        <v>6887.7997518768016</v>
      </c>
      <c r="I44" s="59">
        <f t="shared" ca="1" si="0"/>
        <v>216.82999999999998</v>
      </c>
      <c r="J44" s="59">
        <f t="shared" ca="1" si="6"/>
        <v>94.54</v>
      </c>
      <c r="K44" s="59">
        <f t="shared" ca="1" si="7"/>
        <v>311.37</v>
      </c>
      <c r="L44" s="60">
        <f t="shared" ca="1" si="16"/>
        <v>6670.9697518768016</v>
      </c>
      <c r="M44" s="63">
        <f ca="1">IF($C$16&gt;=B44,(IF(((P44-(J44+(I43*-1)+1))&lt;=0),1,((SUM(I$24:$I44)-(SUM($N$23:$N$25)))))),"-")</f>
        <v>3555.6</v>
      </c>
      <c r="N44" s="62">
        <f ca="1">IF($C$16&gt;=B44,(IF((M44&lt;=0),1,((SUM($I$24:I44)-(SUM($N$23:N43)))))),"-")</f>
        <v>216.82999999999993</v>
      </c>
      <c r="O44" s="59">
        <f t="shared" ca="1" si="8"/>
        <v>94.540000000000077</v>
      </c>
      <c r="P44" s="60">
        <f t="shared" ca="1" si="9"/>
        <v>311.37</v>
      </c>
      <c r="Q44" s="102">
        <f t="shared" ca="1" si="10"/>
        <v>311.37</v>
      </c>
      <c r="S44" s="103" t="str">
        <f t="shared" ca="1" si="11"/>
        <v>2028/03/07</v>
      </c>
      <c r="T44" s="97" t="str">
        <f t="shared" ca="1" si="12"/>
        <v>2028</v>
      </c>
      <c r="U44" s="97" t="str">
        <f t="shared" ca="1" si="13"/>
        <v>03</v>
      </c>
      <c r="V44" s="97" t="str">
        <f t="shared" ca="1" si="14"/>
        <v>07</v>
      </c>
    </row>
    <row r="45" spans="2:22">
      <c r="B45" s="54">
        <v>22</v>
      </c>
      <c r="C45" s="55">
        <f t="shared" ca="1" si="1"/>
        <v>46850</v>
      </c>
      <c r="D45" s="55">
        <f t="shared" ca="1" si="2"/>
        <v>46870</v>
      </c>
      <c r="E45" s="57">
        <f t="shared" ca="1" si="3"/>
        <v>31</v>
      </c>
      <c r="F45" s="57">
        <f t="shared" ca="1" si="15"/>
        <v>637</v>
      </c>
      <c r="G45" s="58">
        <f t="shared" ca="1" si="4"/>
        <v>0.74122262400000005</v>
      </c>
      <c r="H45" s="59">
        <f t="shared" ca="1" si="5"/>
        <v>6670.9697518768016</v>
      </c>
      <c r="I45" s="59">
        <f t="shared" ca="1" si="0"/>
        <v>213.44</v>
      </c>
      <c r="J45" s="59">
        <f t="shared" ca="1" si="6"/>
        <v>97.93</v>
      </c>
      <c r="K45" s="59">
        <f t="shared" ca="1" si="7"/>
        <v>311.37</v>
      </c>
      <c r="L45" s="60">
        <f t="shared" ca="1" si="16"/>
        <v>6457.529751876802</v>
      </c>
      <c r="M45" s="63">
        <f ca="1">IF($C$16&gt;=B45,(IF(((P45-(J45+(I44*-1)+1))&lt;=0),1,((SUM(I$24:$I45)-(SUM($N$23:$N$25)))))),"-")</f>
        <v>3769.0399999999995</v>
      </c>
      <c r="N45" s="62">
        <f ca="1">IF($C$16&gt;=B45,(IF((M45&lt;=0),1,((SUM($I$24:I45)-(SUM($N$23:N44)))))),"-")</f>
        <v>213.4399999999996</v>
      </c>
      <c r="O45" s="59">
        <f t="shared" ca="1" si="8"/>
        <v>97.930000000000405</v>
      </c>
      <c r="P45" s="60">
        <f t="shared" ca="1" si="9"/>
        <v>311.37</v>
      </c>
      <c r="Q45" s="102">
        <f t="shared" ca="1" si="10"/>
        <v>311.37</v>
      </c>
      <c r="S45" s="103" t="str">
        <f t="shared" ca="1" si="11"/>
        <v>2028/04/07</v>
      </c>
      <c r="T45" s="97" t="str">
        <f t="shared" ca="1" si="12"/>
        <v>2028</v>
      </c>
      <c r="U45" s="97" t="str">
        <f t="shared" ca="1" si="13"/>
        <v>04</v>
      </c>
      <c r="V45" s="97" t="str">
        <f t="shared" ca="1" si="14"/>
        <v>07</v>
      </c>
    </row>
    <row r="46" spans="2:22">
      <c r="B46" s="54">
        <v>23</v>
      </c>
      <c r="C46" s="55">
        <f t="shared" ca="1" si="1"/>
        <v>46880</v>
      </c>
      <c r="D46" s="55">
        <f t="shared" ca="1" si="2"/>
        <v>46900</v>
      </c>
      <c r="E46" s="57">
        <f t="shared" ca="1" si="3"/>
        <v>30</v>
      </c>
      <c r="F46" s="57">
        <f t="shared" ca="1" si="15"/>
        <v>667</v>
      </c>
      <c r="G46" s="58">
        <f t="shared" ca="1" si="4"/>
        <v>0.73084250900000003</v>
      </c>
      <c r="H46" s="59">
        <f t="shared" ca="1" si="5"/>
        <v>6457.529751876802</v>
      </c>
      <c r="I46" s="59">
        <f t="shared" ca="1" si="0"/>
        <v>219.65</v>
      </c>
      <c r="J46" s="59">
        <f t="shared" ca="1" si="6"/>
        <v>91.72</v>
      </c>
      <c r="K46" s="59">
        <f t="shared" ca="1" si="7"/>
        <v>311.37</v>
      </c>
      <c r="L46" s="60">
        <f t="shared" ca="1" si="16"/>
        <v>6237.8797518768024</v>
      </c>
      <c r="M46" s="63">
        <f ca="1">IF($C$16&gt;=B46,(IF(((P46-(J46+(I45*-1)+1))&lt;=0),1,((SUM(I$24:$I46)-(SUM($N$23:$N$25)))))),"-")</f>
        <v>3988.6899999999991</v>
      </c>
      <c r="N46" s="62">
        <f ca="1">IF($C$16&gt;=B46,(IF((M46&lt;=0),1,((SUM($I$24:I46)-(SUM($N$23:N45)))))),"-")</f>
        <v>219.64999999999964</v>
      </c>
      <c r="O46" s="59">
        <f t="shared" ca="1" si="8"/>
        <v>91.720000000000368</v>
      </c>
      <c r="P46" s="60">
        <f t="shared" ca="1" si="9"/>
        <v>311.37</v>
      </c>
      <c r="Q46" s="102">
        <f t="shared" ca="1" si="10"/>
        <v>311.37</v>
      </c>
      <c r="S46" s="103" t="str">
        <f t="shared" ca="1" si="11"/>
        <v>2028/05/07</v>
      </c>
      <c r="T46" s="97" t="str">
        <f t="shared" ca="1" si="12"/>
        <v>2028</v>
      </c>
      <c r="U46" s="97" t="str">
        <f t="shared" ca="1" si="13"/>
        <v>05</v>
      </c>
      <c r="V46" s="97" t="str">
        <f t="shared" ca="1" si="14"/>
        <v>07</v>
      </c>
    </row>
    <row r="47" spans="2:22">
      <c r="B47" s="54">
        <v>24</v>
      </c>
      <c r="C47" s="55">
        <f t="shared" ca="1" si="1"/>
        <v>46911</v>
      </c>
      <c r="D47" s="55">
        <f t="shared" ca="1" si="2"/>
        <v>46931</v>
      </c>
      <c r="E47" s="57">
        <f t="shared" ca="1" si="3"/>
        <v>31</v>
      </c>
      <c r="F47" s="57">
        <f t="shared" ca="1" si="15"/>
        <v>698</v>
      </c>
      <c r="G47" s="58">
        <f t="shared" ca="1" si="4"/>
        <v>0.72026908000000001</v>
      </c>
      <c r="H47" s="59">
        <f t="shared" ca="1" si="5"/>
        <v>6237.8797518768024</v>
      </c>
      <c r="I47" s="59">
        <f t="shared" ca="1" si="0"/>
        <v>219.8</v>
      </c>
      <c r="J47" s="59">
        <f t="shared" ca="1" si="6"/>
        <v>91.57</v>
      </c>
      <c r="K47" s="59">
        <f t="shared" ca="1" si="7"/>
        <v>311.37</v>
      </c>
      <c r="L47" s="60">
        <f t="shared" ca="1" si="16"/>
        <v>6018.0797518768022</v>
      </c>
      <c r="M47" s="63">
        <f ca="1">IF($C$16&gt;=B47,(IF(((P47-(J47+(I46*-1)+1))&lt;=0),1,((SUM(I$24:$I47)-(SUM($N$23:$N$25)))))),"-")</f>
        <v>4208.4899999999989</v>
      </c>
      <c r="N47" s="62">
        <f ca="1">IF($C$16&gt;=B47,(IF((M47&lt;=0),1,((SUM($I$24:I47)-(SUM($N$23:N46)))))),"-")</f>
        <v>219.80000000000018</v>
      </c>
      <c r="O47" s="59">
        <f t="shared" ca="1" si="8"/>
        <v>91.569999999999823</v>
      </c>
      <c r="P47" s="60">
        <f t="shared" ca="1" si="9"/>
        <v>311.37</v>
      </c>
      <c r="Q47" s="102">
        <f t="shared" ca="1" si="10"/>
        <v>311.37</v>
      </c>
      <c r="S47" s="103" t="str">
        <f t="shared" ca="1" si="11"/>
        <v>2028/06/07</v>
      </c>
      <c r="T47" s="97" t="str">
        <f t="shared" ca="1" si="12"/>
        <v>2028</v>
      </c>
      <c r="U47" s="97" t="str">
        <f t="shared" ca="1" si="13"/>
        <v>06</v>
      </c>
      <c r="V47" s="97" t="str">
        <f t="shared" ca="1" si="14"/>
        <v>07</v>
      </c>
    </row>
    <row r="48" spans="2:22">
      <c r="B48" s="54">
        <v>25</v>
      </c>
      <c r="C48" s="55">
        <f t="shared" ca="1" si="1"/>
        <v>46941</v>
      </c>
      <c r="D48" s="55">
        <f t="shared" ca="1" si="2"/>
        <v>46961</v>
      </c>
      <c r="E48" s="57">
        <f t="shared" ca="1" si="3"/>
        <v>30</v>
      </c>
      <c r="F48" s="57">
        <f t="shared" ca="1" si="15"/>
        <v>728</v>
      </c>
      <c r="G48" s="58">
        <f t="shared" ca="1" si="4"/>
        <v>0.71018239900000002</v>
      </c>
      <c r="H48" s="59">
        <f t="shared" ca="1" si="5"/>
        <v>6018.0797518768022</v>
      </c>
      <c r="I48" s="59">
        <f t="shared" ca="1" si="0"/>
        <v>225.9</v>
      </c>
      <c r="J48" s="59">
        <f t="shared" ca="1" si="6"/>
        <v>85.47</v>
      </c>
      <c r="K48" s="59">
        <f t="shared" ca="1" si="7"/>
        <v>311.37</v>
      </c>
      <c r="L48" s="60">
        <f t="shared" ca="1" si="16"/>
        <v>5792.1797518768026</v>
      </c>
      <c r="M48" s="63">
        <f ca="1">IF($C$16&gt;=B48,(IF(((P48-(J48+(I47*-1)+1))&lt;=0),1,((SUM(I$24:$I48)-(SUM($N$23:$N$25)))))),"-")</f>
        <v>4434.3899999999985</v>
      </c>
      <c r="N48" s="62">
        <f ca="1">IF($C$16&gt;=B48,(IF((M48&lt;=0),1,((SUM($I$24:I48)-(SUM($N$23:N47)))))),"-")</f>
        <v>225.89999999999964</v>
      </c>
      <c r="O48" s="59">
        <f t="shared" ca="1" si="8"/>
        <v>85.470000000000368</v>
      </c>
      <c r="P48" s="60">
        <f t="shared" ca="1" si="9"/>
        <v>311.37</v>
      </c>
      <c r="Q48" s="102">
        <f t="shared" ca="1" si="10"/>
        <v>311.37</v>
      </c>
      <c r="S48" s="103" t="str">
        <f t="shared" ca="1" si="11"/>
        <v>2028/07/07</v>
      </c>
      <c r="T48" s="97" t="str">
        <f t="shared" ca="1" si="12"/>
        <v>2028</v>
      </c>
      <c r="U48" s="97" t="str">
        <f t="shared" ca="1" si="13"/>
        <v>07</v>
      </c>
      <c r="V48" s="97" t="str">
        <f t="shared" ca="1" si="14"/>
        <v>07</v>
      </c>
    </row>
    <row r="49" spans="2:22">
      <c r="B49" s="54">
        <v>26</v>
      </c>
      <c r="C49" s="55">
        <f t="shared" ca="1" si="1"/>
        <v>46972</v>
      </c>
      <c r="D49" s="55">
        <f t="shared" ca="1" si="2"/>
        <v>46992</v>
      </c>
      <c r="E49" s="57">
        <f t="shared" ca="1" si="3"/>
        <v>31</v>
      </c>
      <c r="F49" s="57">
        <f t="shared" ca="1" si="15"/>
        <v>759</v>
      </c>
      <c r="G49" s="58">
        <f t="shared" ca="1" si="4"/>
        <v>0.69990786900000002</v>
      </c>
      <c r="H49" s="59">
        <f t="shared" ca="1" si="5"/>
        <v>5792.1797518768026</v>
      </c>
      <c r="I49" s="59">
        <f t="shared" ca="1" si="0"/>
        <v>226.34</v>
      </c>
      <c r="J49" s="59">
        <f t="shared" ca="1" si="6"/>
        <v>85.03</v>
      </c>
      <c r="K49" s="59">
        <f t="shared" ca="1" si="7"/>
        <v>311.37</v>
      </c>
      <c r="L49" s="60">
        <f t="shared" ca="1" si="16"/>
        <v>5565.8397518768024</v>
      </c>
      <c r="M49" s="63">
        <f ca="1">IF($C$16&gt;=B49,(IF(((P49-(J49+(I48*-1)+1))&lt;=0),1,((SUM(I$24:$I49)-(SUM($N$23:$N$25)))))),"-")</f>
        <v>4660.7299999999987</v>
      </c>
      <c r="N49" s="62">
        <f ca="1">IF($C$16&gt;=B49,(IF((M49&lt;=0),1,((SUM($I$24:I49)-(SUM($N$23:N48)))))),"-")</f>
        <v>226.34000000000015</v>
      </c>
      <c r="O49" s="59">
        <f t="shared" ca="1" si="8"/>
        <v>85.029999999999859</v>
      </c>
      <c r="P49" s="60">
        <f t="shared" ca="1" si="9"/>
        <v>311.37</v>
      </c>
      <c r="Q49" s="102">
        <f t="shared" ca="1" si="10"/>
        <v>311.37</v>
      </c>
      <c r="S49" s="103" t="str">
        <f t="shared" ca="1" si="11"/>
        <v>2028/08/07</v>
      </c>
      <c r="T49" s="97" t="str">
        <f t="shared" ca="1" si="12"/>
        <v>2028</v>
      </c>
      <c r="U49" s="97" t="str">
        <f t="shared" ca="1" si="13"/>
        <v>08</v>
      </c>
      <c r="V49" s="97" t="str">
        <f t="shared" ca="1" si="14"/>
        <v>07</v>
      </c>
    </row>
    <row r="50" spans="2:22">
      <c r="B50" s="54">
        <v>27</v>
      </c>
      <c r="C50" s="55">
        <f t="shared" ca="1" si="1"/>
        <v>47003</v>
      </c>
      <c r="D50" s="55">
        <f t="shared" ca="1" si="2"/>
        <v>47023</v>
      </c>
      <c r="E50" s="57">
        <f t="shared" ca="1" si="3"/>
        <v>31</v>
      </c>
      <c r="F50" s="57">
        <f t="shared" ca="1" si="15"/>
        <v>790</v>
      </c>
      <c r="G50" s="58">
        <f t="shared" ca="1" si="4"/>
        <v>0.68978198400000001</v>
      </c>
      <c r="H50" s="59">
        <f t="shared" ca="1" si="5"/>
        <v>5565.8397518768024</v>
      </c>
      <c r="I50" s="59">
        <f t="shared" ca="1" si="0"/>
        <v>229.66000000000003</v>
      </c>
      <c r="J50" s="59">
        <f t="shared" ca="1" si="6"/>
        <v>81.709999999999994</v>
      </c>
      <c r="K50" s="59">
        <f t="shared" ca="1" si="7"/>
        <v>311.37</v>
      </c>
      <c r="L50" s="60">
        <f t="shared" ca="1" si="16"/>
        <v>5336.1797518768026</v>
      </c>
      <c r="M50" s="63">
        <f ca="1">IF($C$16&gt;=B50,(IF(((P50-(J50+(I49*-1)+1))&lt;=0),1,((SUM(I$24:$I50)-(SUM($N$23:$N$25)))))),"-")</f>
        <v>4890.3899999999985</v>
      </c>
      <c r="N50" s="62">
        <f ca="1">IF($C$16&gt;=B50,(IF((M50&lt;=0),1,((SUM($I$24:I50)-(SUM($N$23:N49)))))),"-")</f>
        <v>229.65999999999985</v>
      </c>
      <c r="O50" s="59">
        <f t="shared" ca="1" si="8"/>
        <v>81.71000000000015</v>
      </c>
      <c r="P50" s="60">
        <f t="shared" ca="1" si="9"/>
        <v>311.37</v>
      </c>
      <c r="Q50" s="102">
        <f t="shared" ca="1" si="10"/>
        <v>311.37</v>
      </c>
      <c r="S50" s="103" t="str">
        <f t="shared" ca="1" si="11"/>
        <v>2028/09/07</v>
      </c>
      <c r="T50" s="97" t="str">
        <f t="shared" ca="1" si="12"/>
        <v>2028</v>
      </c>
      <c r="U50" s="97" t="str">
        <f t="shared" ca="1" si="13"/>
        <v>09</v>
      </c>
      <c r="V50" s="97" t="str">
        <f t="shared" ca="1" si="14"/>
        <v>07</v>
      </c>
    </row>
    <row r="51" spans="2:22">
      <c r="B51" s="54">
        <v>28</v>
      </c>
      <c r="C51" s="55">
        <f t="shared" ca="1" si="1"/>
        <v>47033</v>
      </c>
      <c r="D51" s="55">
        <f t="shared" ca="1" si="2"/>
        <v>47053</v>
      </c>
      <c r="E51" s="57">
        <f t="shared" ca="1" si="3"/>
        <v>30</v>
      </c>
      <c r="F51" s="57">
        <f t="shared" ca="1" si="15"/>
        <v>820</v>
      </c>
      <c r="G51" s="58">
        <f t="shared" ca="1" si="4"/>
        <v>0.68012224700000001</v>
      </c>
      <c r="H51" s="59">
        <f t="shared" ca="1" si="5"/>
        <v>5336.1797518768026</v>
      </c>
      <c r="I51" s="59">
        <f t="shared" ca="1" si="0"/>
        <v>235.57999999999998</v>
      </c>
      <c r="J51" s="59">
        <f t="shared" ca="1" si="6"/>
        <v>75.790000000000006</v>
      </c>
      <c r="K51" s="59">
        <f t="shared" ca="1" si="7"/>
        <v>311.37</v>
      </c>
      <c r="L51" s="60">
        <f t="shared" ca="1" si="16"/>
        <v>5100.5997518768027</v>
      </c>
      <c r="M51" s="63">
        <f ca="1">IF($C$16&gt;=B51,(IF(((P51-(J51+(I50*-1)+1))&lt;=0),1,((SUM(I$24:$I51)-(SUM($N$23:$N$25)))))),"-")</f>
        <v>5125.9699999999984</v>
      </c>
      <c r="N51" s="62">
        <f ca="1">IF($C$16&gt;=B51,(IF((M51&lt;=0),1,((SUM($I$24:I51)-(SUM($N$23:N50)))))),"-")</f>
        <v>235.57999999999993</v>
      </c>
      <c r="O51" s="59">
        <f t="shared" ca="1" si="8"/>
        <v>75.790000000000077</v>
      </c>
      <c r="P51" s="60">
        <f t="shared" ca="1" si="9"/>
        <v>311.37</v>
      </c>
      <c r="Q51" s="102">
        <f t="shared" ca="1" si="10"/>
        <v>311.37</v>
      </c>
      <c r="S51" s="103" t="str">
        <f t="shared" ca="1" si="11"/>
        <v>2028/10/07</v>
      </c>
      <c r="T51" s="97" t="str">
        <f t="shared" ca="1" si="12"/>
        <v>2028</v>
      </c>
      <c r="U51" s="97" t="str">
        <f t="shared" ca="1" si="13"/>
        <v>10</v>
      </c>
      <c r="V51" s="97" t="str">
        <f t="shared" ca="1" si="14"/>
        <v>07</v>
      </c>
    </row>
    <row r="52" spans="2:22">
      <c r="B52" s="54">
        <v>29</v>
      </c>
      <c r="C52" s="55">
        <f t="shared" ca="1" si="1"/>
        <v>47064</v>
      </c>
      <c r="D52" s="55">
        <f t="shared" ca="1" si="2"/>
        <v>47084</v>
      </c>
      <c r="E52" s="57">
        <f t="shared" ca="1" si="3"/>
        <v>31</v>
      </c>
      <c r="F52" s="57">
        <f t="shared" ca="1" si="15"/>
        <v>851</v>
      </c>
      <c r="G52" s="58">
        <f t="shared" ca="1" si="4"/>
        <v>0.67028261</v>
      </c>
      <c r="H52" s="59">
        <f t="shared" ca="1" si="5"/>
        <v>5100.5997518768027</v>
      </c>
      <c r="I52" s="59">
        <f t="shared" ca="1" si="0"/>
        <v>236.49</v>
      </c>
      <c r="J52" s="59">
        <f t="shared" ca="1" si="6"/>
        <v>74.88</v>
      </c>
      <c r="K52" s="59">
        <f t="shared" ca="1" si="7"/>
        <v>311.37</v>
      </c>
      <c r="L52" s="60">
        <f t="shared" ca="1" si="16"/>
        <v>4864.1097518768029</v>
      </c>
      <c r="M52" s="63">
        <f ca="1">IF($C$16&gt;=B52,(IF(((P52-(J52+(I51*-1)+1))&lt;=0),1,((SUM(I$24:$I52)-(SUM($N$23:$N$25)))))),"-")</f>
        <v>5362.4599999999982</v>
      </c>
      <c r="N52" s="62">
        <f ca="1">IF($C$16&gt;=B52,(IF((M52&lt;=0),1,((SUM($I$24:I52)-(SUM($N$23:N51)))))),"-")</f>
        <v>236.48999999999978</v>
      </c>
      <c r="O52" s="59">
        <f t="shared" ca="1" si="8"/>
        <v>74.880000000000223</v>
      </c>
      <c r="P52" s="60">
        <f t="shared" ca="1" si="9"/>
        <v>311.37</v>
      </c>
      <c r="Q52" s="102">
        <f t="shared" ca="1" si="10"/>
        <v>311.37</v>
      </c>
      <c r="S52" s="103" t="str">
        <f t="shared" ca="1" si="11"/>
        <v>2028/11/07</v>
      </c>
      <c r="T52" s="97" t="str">
        <f t="shared" ca="1" si="12"/>
        <v>2028</v>
      </c>
      <c r="U52" s="97" t="str">
        <f t="shared" ca="1" si="13"/>
        <v>11</v>
      </c>
      <c r="V52" s="97" t="str">
        <f t="shared" ca="1" si="14"/>
        <v>07</v>
      </c>
    </row>
    <row r="53" spans="2:22">
      <c r="B53" s="54">
        <v>30</v>
      </c>
      <c r="C53" s="55">
        <f t="shared" ca="1" si="1"/>
        <v>47094</v>
      </c>
      <c r="D53" s="55">
        <f t="shared" ca="1" si="2"/>
        <v>47114</v>
      </c>
      <c r="E53" s="57">
        <f t="shared" ca="1" si="3"/>
        <v>30</v>
      </c>
      <c r="F53" s="57">
        <f t="shared" ca="1" si="15"/>
        <v>881</v>
      </c>
      <c r="G53" s="58">
        <f t="shared" ca="1" si="4"/>
        <v>0.66089594200000001</v>
      </c>
      <c r="H53" s="59">
        <f t="shared" ca="1" si="5"/>
        <v>4864.1097518768029</v>
      </c>
      <c r="I53" s="59">
        <f t="shared" ca="1" si="0"/>
        <v>242.29000000000002</v>
      </c>
      <c r="J53" s="59">
        <f t="shared" ca="1" si="6"/>
        <v>69.08</v>
      </c>
      <c r="K53" s="59">
        <f t="shared" ca="1" si="7"/>
        <v>311.37</v>
      </c>
      <c r="L53" s="60">
        <f t="shared" ca="1" si="16"/>
        <v>4621.8197518768029</v>
      </c>
      <c r="M53" s="63">
        <f ca="1">IF($C$16&gt;=B53,(IF(((P53-(J53+(I52*-1)+1))&lt;=0),1,((SUM(I$24:$I53)-(SUM($N$23:$N$25)))))),"-")</f>
        <v>5604.7499999999982</v>
      </c>
      <c r="N53" s="62">
        <f ca="1">IF($C$16&gt;=B53,(IF((M53&lt;=0),1,((SUM($I$24:I53)-(SUM($N$23:N52)))))),"-")</f>
        <v>242.28999999999996</v>
      </c>
      <c r="O53" s="59">
        <f t="shared" ca="1" si="8"/>
        <v>69.080000000000041</v>
      </c>
      <c r="P53" s="60">
        <f t="shared" ca="1" si="9"/>
        <v>311.37</v>
      </c>
      <c r="Q53" s="102">
        <f t="shared" ca="1" si="10"/>
        <v>311.37</v>
      </c>
      <c r="S53" s="103" t="str">
        <f t="shared" ca="1" si="11"/>
        <v>2028/12/07</v>
      </c>
      <c r="T53" s="97" t="str">
        <f t="shared" ca="1" si="12"/>
        <v>2028</v>
      </c>
      <c r="U53" s="97" t="str">
        <f t="shared" ca="1" si="13"/>
        <v>12</v>
      </c>
      <c r="V53" s="97" t="str">
        <f t="shared" ca="1" si="14"/>
        <v>07</v>
      </c>
    </row>
    <row r="54" spans="2:22">
      <c r="B54" s="54">
        <v>31</v>
      </c>
      <c r="C54" s="55">
        <f t="shared" ca="1" si="1"/>
        <v>47125</v>
      </c>
      <c r="D54" s="55">
        <f t="shared" ca="1" si="2"/>
        <v>47145</v>
      </c>
      <c r="E54" s="57">
        <f t="shared" ca="1" si="3"/>
        <v>31</v>
      </c>
      <c r="F54" s="57">
        <f t="shared" ca="1" si="15"/>
        <v>912</v>
      </c>
      <c r="G54" s="58">
        <f t="shared" ca="1" si="4"/>
        <v>0.65133446100000003</v>
      </c>
      <c r="H54" s="59">
        <f t="shared" ca="1" si="5"/>
        <v>4621.8197518768029</v>
      </c>
      <c r="I54" s="59">
        <f t="shared" ca="1" si="0"/>
        <v>243.52</v>
      </c>
      <c r="J54" s="59">
        <f t="shared" ca="1" si="6"/>
        <v>67.849999999999994</v>
      </c>
      <c r="K54" s="59">
        <f t="shared" ca="1" si="7"/>
        <v>311.37</v>
      </c>
      <c r="L54" s="60">
        <f t="shared" ca="1" si="16"/>
        <v>4378.2997518768025</v>
      </c>
      <c r="M54" s="63">
        <f ca="1">IF($C$16&gt;=B54,(IF(((P54-(J54+(I53*-1)+1))&lt;=0),1,((SUM(I$24:$I54)-(SUM($N$23:$N$25)))))),"-")</f>
        <v>5848.2699999999986</v>
      </c>
      <c r="N54" s="62">
        <f ca="1">IF($C$16&gt;=B54,(IF((M54&lt;=0),1,((SUM($I$24:I54)-(SUM($N$23:N53)))))),"-")</f>
        <v>243.52000000000044</v>
      </c>
      <c r="O54" s="59">
        <f t="shared" ca="1" si="8"/>
        <v>67.849999999999568</v>
      </c>
      <c r="P54" s="60">
        <f t="shared" ca="1" si="9"/>
        <v>311.37</v>
      </c>
      <c r="Q54" s="102">
        <f t="shared" ca="1" si="10"/>
        <v>311.37</v>
      </c>
      <c r="S54" s="103" t="str">
        <f t="shared" ca="1" si="11"/>
        <v>2029/01/07</v>
      </c>
      <c r="T54" s="97" t="str">
        <f t="shared" ca="1" si="12"/>
        <v>2029</v>
      </c>
      <c r="U54" s="97" t="str">
        <f t="shared" ca="1" si="13"/>
        <v>01</v>
      </c>
      <c r="V54" s="97" t="str">
        <f t="shared" ca="1" si="14"/>
        <v>07</v>
      </c>
    </row>
    <row r="55" spans="2:22">
      <c r="B55" s="54">
        <v>32</v>
      </c>
      <c r="C55" s="55">
        <f t="shared" ca="1" si="1"/>
        <v>47156</v>
      </c>
      <c r="D55" s="55">
        <f t="shared" ca="1" si="2"/>
        <v>47176</v>
      </c>
      <c r="E55" s="57">
        <f t="shared" ca="1" si="3"/>
        <v>31</v>
      </c>
      <c r="F55" s="57">
        <f t="shared" ca="1" si="15"/>
        <v>943</v>
      </c>
      <c r="G55" s="58">
        <f t="shared" ca="1" si="4"/>
        <v>0.64191131000000001</v>
      </c>
      <c r="H55" s="59">
        <f t="shared" ca="1" si="5"/>
        <v>4378.2997518768025</v>
      </c>
      <c r="I55" s="59">
        <f t="shared" ca="1" si="0"/>
        <v>247.10000000000002</v>
      </c>
      <c r="J55" s="59">
        <f t="shared" ca="1" si="6"/>
        <v>64.27</v>
      </c>
      <c r="K55" s="59">
        <f t="shared" ca="1" si="7"/>
        <v>311.37</v>
      </c>
      <c r="L55" s="60">
        <f t="shared" ca="1" si="16"/>
        <v>4131.1997518768021</v>
      </c>
      <c r="M55" s="63">
        <f ca="1">IF($C$16&gt;=B55,(IF(((P55-(J55+(I54*-1)+1))&lt;=0),1,((SUM(I$24:$I55)-(SUM($N$23:$N$25)))))),"-")</f>
        <v>6095.369999999999</v>
      </c>
      <c r="N55" s="62">
        <f ca="1">IF($C$16&gt;=B55,(IF((M55&lt;=0),1,((SUM($I$24:I55)-(SUM($N$23:N54)))))),"-")</f>
        <v>247.10000000000036</v>
      </c>
      <c r="O55" s="59">
        <f t="shared" ca="1" si="8"/>
        <v>64.269999999999641</v>
      </c>
      <c r="P55" s="60">
        <f t="shared" ca="1" si="9"/>
        <v>311.37</v>
      </c>
      <c r="Q55" s="102">
        <f t="shared" ca="1" si="10"/>
        <v>311.37</v>
      </c>
      <c r="S55" s="103" t="str">
        <f t="shared" ca="1" si="11"/>
        <v>2029/02/07</v>
      </c>
      <c r="T55" s="97" t="str">
        <f t="shared" ca="1" si="12"/>
        <v>2029</v>
      </c>
      <c r="U55" s="97" t="str">
        <f t="shared" ca="1" si="13"/>
        <v>02</v>
      </c>
      <c r="V55" s="97" t="str">
        <f t="shared" ca="1" si="14"/>
        <v>07</v>
      </c>
    </row>
    <row r="56" spans="2:22">
      <c r="B56" s="54">
        <v>33</v>
      </c>
      <c r="C56" s="55">
        <f t="shared" ca="1" si="1"/>
        <v>47184</v>
      </c>
      <c r="D56" s="55">
        <f t="shared" ca="1" si="2"/>
        <v>47204</v>
      </c>
      <c r="E56" s="57">
        <f t="shared" ca="1" si="3"/>
        <v>28</v>
      </c>
      <c r="F56" s="57">
        <f t="shared" ca="1" si="15"/>
        <v>971</v>
      </c>
      <c r="G56" s="58">
        <f t="shared" ca="1" si="4"/>
        <v>0.63351731</v>
      </c>
      <c r="H56" s="59">
        <f t="shared" ca="1" si="5"/>
        <v>4131.1997518768021</v>
      </c>
      <c r="I56" s="59">
        <f t="shared" ca="1" si="0"/>
        <v>256.63</v>
      </c>
      <c r="J56" s="59">
        <f t="shared" ca="1" si="6"/>
        <v>54.74</v>
      </c>
      <c r="K56" s="59">
        <f t="shared" ca="1" si="7"/>
        <v>311.37</v>
      </c>
      <c r="L56" s="60">
        <f t="shared" ca="1" si="16"/>
        <v>3874.569751876802</v>
      </c>
      <c r="M56" s="63">
        <f ca="1">IF($C$16&gt;=B56,(IF(((P56-(J56+(I55*-1)+1))&lt;=0),1,((SUM(I$24:$I56)-(SUM($N$23:$N$25)))))),"-")</f>
        <v>6351.9999999999991</v>
      </c>
      <c r="N56" s="62">
        <f ca="1">IF($C$16&gt;=B56,(IF((M56&lt;=0),1,((SUM($I$24:I56)-(SUM($N$23:N55)))))),"-")</f>
        <v>256.63000000000011</v>
      </c>
      <c r="O56" s="59">
        <f t="shared" ca="1" si="8"/>
        <v>54.739999999999895</v>
      </c>
      <c r="P56" s="60">
        <f t="shared" ca="1" si="9"/>
        <v>311.37</v>
      </c>
      <c r="Q56" s="102">
        <f t="shared" ca="1" si="10"/>
        <v>311.37</v>
      </c>
      <c r="S56" s="103" t="str">
        <f t="shared" ca="1" si="11"/>
        <v>2029/03/07</v>
      </c>
      <c r="T56" s="97" t="str">
        <f t="shared" ca="1" si="12"/>
        <v>2029</v>
      </c>
      <c r="U56" s="97" t="str">
        <f t="shared" ca="1" si="13"/>
        <v>03</v>
      </c>
      <c r="V56" s="97" t="str">
        <f t="shared" ca="1" si="14"/>
        <v>07</v>
      </c>
    </row>
    <row r="57" spans="2:22">
      <c r="B57" s="54">
        <v>34</v>
      </c>
      <c r="C57" s="55">
        <f t="shared" ca="1" si="1"/>
        <v>47215</v>
      </c>
      <c r="D57" s="55">
        <f t="shared" ca="1" si="2"/>
        <v>47235</v>
      </c>
      <c r="E57" s="57">
        <f t="shared" ca="1" si="3"/>
        <v>31</v>
      </c>
      <c r="F57" s="57">
        <f t="shared" ca="1" si="15"/>
        <v>1002</v>
      </c>
      <c r="G57" s="58">
        <f t="shared" ca="1" si="4"/>
        <v>0.62435192799999994</v>
      </c>
      <c r="H57" s="59">
        <f t="shared" ca="1" si="5"/>
        <v>3874.569751876802</v>
      </c>
      <c r="I57" s="59">
        <f t="shared" ca="1" si="0"/>
        <v>254.49</v>
      </c>
      <c r="J57" s="59">
        <f t="shared" ca="1" si="6"/>
        <v>56.88</v>
      </c>
      <c r="K57" s="59">
        <f t="shared" ca="1" si="7"/>
        <v>311.37</v>
      </c>
      <c r="L57" s="60">
        <f t="shared" ca="1" si="16"/>
        <v>3620.0797518768022</v>
      </c>
      <c r="M57" s="63">
        <f ca="1">IF($C$16&gt;=B57,(IF(((P57-(J57+(I56*-1)+1))&lt;=0),1,((SUM(I$24:$I57)-(SUM($N$23:$N$25)))))),"-")</f>
        <v>6606.4899999999989</v>
      </c>
      <c r="N57" s="62">
        <f ca="1">IF($C$16&gt;=B57,(IF((M57&lt;=0),1,((SUM($I$24:I57)-(SUM($N$23:N56)))))),"-")</f>
        <v>254.48999999999978</v>
      </c>
      <c r="O57" s="59">
        <f t="shared" ca="1" si="8"/>
        <v>56.880000000000223</v>
      </c>
      <c r="P57" s="60">
        <f t="shared" ca="1" si="9"/>
        <v>311.37</v>
      </c>
      <c r="Q57" s="102">
        <f t="shared" ca="1" si="10"/>
        <v>311.37</v>
      </c>
      <c r="S57" s="103" t="str">
        <f t="shared" ca="1" si="11"/>
        <v>2029/04/07</v>
      </c>
      <c r="T57" s="97" t="str">
        <f t="shared" ca="1" si="12"/>
        <v>2029</v>
      </c>
      <c r="U57" s="97" t="str">
        <f t="shared" ca="1" si="13"/>
        <v>04</v>
      </c>
      <c r="V57" s="97" t="str">
        <f t="shared" ca="1" si="14"/>
        <v>07</v>
      </c>
    </row>
    <row r="58" spans="2:22">
      <c r="B58" s="54">
        <v>35</v>
      </c>
      <c r="C58" s="55">
        <f t="shared" ca="1" si="1"/>
        <v>47245</v>
      </c>
      <c r="D58" s="55">
        <f t="shared" ca="1" si="2"/>
        <v>47265</v>
      </c>
      <c r="E58" s="57">
        <f t="shared" ca="1" si="3"/>
        <v>30</v>
      </c>
      <c r="F58" s="57">
        <f t="shared" ca="1" si="15"/>
        <v>1032</v>
      </c>
      <c r="G58" s="58">
        <f t="shared" ca="1" si="4"/>
        <v>0.61560847500000004</v>
      </c>
      <c r="H58" s="59">
        <f t="shared" ca="1" si="5"/>
        <v>3620.0797518768022</v>
      </c>
      <c r="I58" s="59">
        <f t="shared" ca="1" si="0"/>
        <v>259.95</v>
      </c>
      <c r="J58" s="59">
        <f t="shared" ca="1" si="6"/>
        <v>51.42</v>
      </c>
      <c r="K58" s="59">
        <f t="shared" ca="1" si="7"/>
        <v>311.37</v>
      </c>
      <c r="L58" s="60">
        <f t="shared" ca="1" si="16"/>
        <v>3360.1297518768024</v>
      </c>
      <c r="M58" s="63">
        <f ca="1">IF($C$16&gt;=B58,(IF(((P58-(J58+(I57*-1)+1))&lt;=0),1,((SUM(I$24:$I58)-(SUM($N$23:$N$25)))))),"-")</f>
        <v>6866.4399999999987</v>
      </c>
      <c r="N58" s="62">
        <f ca="1">IF($C$16&gt;=B58,(IF((M58&lt;=0),1,((SUM($I$24:I58)-(SUM($N$23:N57)))))),"-")</f>
        <v>259.94999999999982</v>
      </c>
      <c r="O58" s="59">
        <f t="shared" ca="1" si="8"/>
        <v>51.420000000000186</v>
      </c>
      <c r="P58" s="60">
        <f t="shared" ca="1" si="9"/>
        <v>311.37</v>
      </c>
      <c r="Q58" s="102">
        <f t="shared" ca="1" si="10"/>
        <v>311.37</v>
      </c>
      <c r="S58" s="103" t="str">
        <f t="shared" ca="1" si="11"/>
        <v>2029/05/07</v>
      </c>
      <c r="T58" s="97" t="str">
        <f t="shared" ca="1" si="12"/>
        <v>2029</v>
      </c>
      <c r="U58" s="97" t="str">
        <f t="shared" ca="1" si="13"/>
        <v>05</v>
      </c>
      <c r="V58" s="97" t="str">
        <f t="shared" ca="1" si="14"/>
        <v>07</v>
      </c>
    </row>
    <row r="59" spans="2:22">
      <c r="B59" s="64">
        <v>36</v>
      </c>
      <c r="C59" s="55">
        <f t="shared" ca="1" si="1"/>
        <v>47276</v>
      </c>
      <c r="D59" s="55">
        <f t="shared" ca="1" si="2"/>
        <v>47296</v>
      </c>
      <c r="E59" s="65">
        <f t="shared" ca="1" si="3"/>
        <v>31</v>
      </c>
      <c r="F59" s="57">
        <f t="shared" ca="1" si="15"/>
        <v>1063</v>
      </c>
      <c r="G59" s="58">
        <f t="shared" ca="1" si="4"/>
        <v>0.60670218899999995</v>
      </c>
      <c r="H59" s="66">
        <f t="shared" ca="1" si="5"/>
        <v>3360.1297518768024</v>
      </c>
      <c r="I59" s="66">
        <f t="shared" ca="1" si="0"/>
        <v>262.04000000000002</v>
      </c>
      <c r="J59" s="59">
        <f t="shared" ca="1" si="6"/>
        <v>49.33</v>
      </c>
      <c r="K59" s="66">
        <f t="shared" ca="1" si="7"/>
        <v>311.37</v>
      </c>
      <c r="L59" s="67">
        <f t="shared" ca="1" si="16"/>
        <v>3098.0897518768024</v>
      </c>
      <c r="M59" s="63">
        <f ca="1">IF($C$16&gt;=B59,(IF(((P59-(J59+(I58*-1)+1))&lt;=0),1,((SUM(I$24:$I59)-(SUM($N$23:$N$25)))))),"-")</f>
        <v>7128.4799999999987</v>
      </c>
      <c r="N59" s="62">
        <f ca="1">IF($C$16&gt;=B59,(IF((M59&lt;=0),1,((SUM($I$24:I59)-(SUM($N$23:N58)))))),"-")</f>
        <v>262.03999999999996</v>
      </c>
      <c r="O59" s="59">
        <f t="shared" ca="1" si="8"/>
        <v>49.330000000000041</v>
      </c>
      <c r="P59" s="60">
        <f t="shared" ca="1" si="9"/>
        <v>311.37</v>
      </c>
      <c r="Q59" s="102">
        <f t="shared" ca="1" si="10"/>
        <v>311.37</v>
      </c>
      <c r="S59" s="103" t="str">
        <f t="shared" ca="1" si="11"/>
        <v>2029/06/07</v>
      </c>
      <c r="T59" s="97" t="str">
        <f t="shared" ca="1" si="12"/>
        <v>2029</v>
      </c>
      <c r="U59" s="97" t="str">
        <f t="shared" ca="1" si="13"/>
        <v>06</v>
      </c>
      <c r="V59" s="97" t="str">
        <f t="shared" ca="1" si="14"/>
        <v>07</v>
      </c>
    </row>
    <row r="60" spans="2:22">
      <c r="B60" s="64">
        <v>37</v>
      </c>
      <c r="C60" s="55">
        <f t="shared" ca="1" si="1"/>
        <v>47306</v>
      </c>
      <c r="D60" s="55">
        <f t="shared" ca="1" si="2"/>
        <v>47326</v>
      </c>
      <c r="E60" s="65">
        <f t="shared" ca="1" si="3"/>
        <v>30</v>
      </c>
      <c r="F60" s="57">
        <f t="shared" ca="1" si="15"/>
        <v>1093</v>
      </c>
      <c r="G60" s="58">
        <f t="shared" ca="1" si="4"/>
        <v>0.59820590399999996</v>
      </c>
      <c r="H60" s="66">
        <f t="shared" ca="1" si="5"/>
        <v>3098.0897518768024</v>
      </c>
      <c r="I60" s="66">
        <f t="shared" ca="1" si="0"/>
        <v>267.37</v>
      </c>
      <c r="J60" s="59">
        <f t="shared" ca="1" si="6"/>
        <v>44</v>
      </c>
      <c r="K60" s="66">
        <f t="shared" ca="1" si="7"/>
        <v>311.37</v>
      </c>
      <c r="L60" s="67">
        <f t="shared" ca="1" si="16"/>
        <v>2830.7197518768025</v>
      </c>
      <c r="M60" s="63">
        <f ca="1">IF($C$16&gt;=B60,(IF(((P60-(J60+(I59*-1)+1))&lt;=0),1,((SUM(I$24:$I60)-(SUM($N$23:$N$25)))))),"-")</f>
        <v>7395.8499999999985</v>
      </c>
      <c r="N60" s="62">
        <f ca="1">IF($C$16&gt;=B60,(IF((M60&lt;=0),1,((SUM($I$24:I60)-(SUM($N$23:N59)))))),"-")</f>
        <v>267.36999999999989</v>
      </c>
      <c r="O60" s="59">
        <f t="shared" ca="1" si="8"/>
        <v>44.000000000000114</v>
      </c>
      <c r="P60" s="60">
        <f t="shared" ca="1" si="9"/>
        <v>311.37</v>
      </c>
      <c r="Q60" s="102">
        <f t="shared" ca="1" si="10"/>
        <v>311.37</v>
      </c>
      <c r="S60" s="103" t="str">
        <f t="shared" ca="1" si="11"/>
        <v>2029/07/07</v>
      </c>
      <c r="T60" s="97" t="str">
        <f t="shared" ca="1" si="12"/>
        <v>2029</v>
      </c>
      <c r="U60" s="97" t="str">
        <f t="shared" ca="1" si="13"/>
        <v>07</v>
      </c>
      <c r="V60" s="97" t="str">
        <f t="shared" ca="1" si="14"/>
        <v>07</v>
      </c>
    </row>
    <row r="61" spans="2:22">
      <c r="B61" s="64">
        <v>38</v>
      </c>
      <c r="C61" s="55">
        <f t="shared" ca="1" si="1"/>
        <v>47337</v>
      </c>
      <c r="D61" s="55">
        <f t="shared" ca="1" si="2"/>
        <v>47357</v>
      </c>
      <c r="E61" s="65">
        <f t="shared" ca="1" si="3"/>
        <v>31</v>
      </c>
      <c r="F61" s="57">
        <f t="shared" ca="1" si="15"/>
        <v>1124</v>
      </c>
      <c r="G61" s="58">
        <f t="shared" ca="1" si="4"/>
        <v>0.58955138799999995</v>
      </c>
      <c r="H61" s="66">
        <f t="shared" ca="1" si="5"/>
        <v>2830.7197518768025</v>
      </c>
      <c r="I61" s="66">
        <f t="shared" ca="1" si="0"/>
        <v>269.82</v>
      </c>
      <c r="J61" s="59">
        <f t="shared" ca="1" si="6"/>
        <v>41.55</v>
      </c>
      <c r="K61" s="66">
        <f t="shared" ca="1" si="7"/>
        <v>311.37</v>
      </c>
      <c r="L61" s="67">
        <f t="shared" ca="1" si="16"/>
        <v>2560.8997518768024</v>
      </c>
      <c r="M61" s="63">
        <f ca="1">IF($C$16&gt;=B61,(IF(((P61-(J61+(I60*-1)+1))&lt;=0),1,((SUM(I$24:$I61)-(SUM($N$23:$N$25)))))),"-")</f>
        <v>7665.6699999999992</v>
      </c>
      <c r="N61" s="62">
        <f ca="1">IF($C$16&gt;=B61,(IF((M61&lt;=0),1,((SUM($I$24:I61)-(SUM($N$23:N60)))))),"-")</f>
        <v>269.82000000000062</v>
      </c>
      <c r="O61" s="59">
        <f t="shared" ca="1" si="8"/>
        <v>41.549999999999386</v>
      </c>
      <c r="P61" s="60">
        <f t="shared" ca="1" si="9"/>
        <v>311.37</v>
      </c>
      <c r="Q61" s="102">
        <f t="shared" ca="1" si="10"/>
        <v>311.37</v>
      </c>
      <c r="S61" s="103" t="str">
        <f t="shared" ca="1" si="11"/>
        <v>2029/08/07</v>
      </c>
      <c r="T61" s="97" t="str">
        <f t="shared" ca="1" si="12"/>
        <v>2029</v>
      </c>
      <c r="U61" s="97" t="str">
        <f t="shared" ca="1" si="13"/>
        <v>08</v>
      </c>
      <c r="V61" s="97" t="str">
        <f t="shared" ca="1" si="14"/>
        <v>07</v>
      </c>
    </row>
    <row r="62" spans="2:22">
      <c r="B62" s="64">
        <v>39</v>
      </c>
      <c r="C62" s="55">
        <f t="shared" ca="1" si="1"/>
        <v>47368</v>
      </c>
      <c r="D62" s="55">
        <f t="shared" ca="1" si="2"/>
        <v>47388</v>
      </c>
      <c r="E62" s="65">
        <f t="shared" ca="1" si="3"/>
        <v>31</v>
      </c>
      <c r="F62" s="57">
        <f t="shared" ca="1" si="15"/>
        <v>1155</v>
      </c>
      <c r="G62" s="58">
        <f t="shared" ca="1" si="4"/>
        <v>0.58102208099999997</v>
      </c>
      <c r="H62" s="66">
        <f t="shared" ca="1" si="5"/>
        <v>2560.8997518768024</v>
      </c>
      <c r="I62" s="66">
        <f t="shared" ca="1" si="0"/>
        <v>273.77999999999997</v>
      </c>
      <c r="J62" s="59">
        <f t="shared" ca="1" si="6"/>
        <v>37.590000000000003</v>
      </c>
      <c r="K62" s="66">
        <f t="shared" ca="1" si="7"/>
        <v>311.37</v>
      </c>
      <c r="L62" s="67">
        <f t="shared" ca="1" si="16"/>
        <v>2287.1197518768022</v>
      </c>
      <c r="M62" s="63">
        <f ca="1">IF($C$16&gt;=B62,(IF(((P62-(J62+(I61*-1)+1))&lt;=0),1,((SUM(I$24:$I62)-(SUM($N$23:$N$25)))))),"-")</f>
        <v>7939.45</v>
      </c>
      <c r="N62" s="62">
        <f ca="1">IF($C$16&gt;=B62,(IF((M62&lt;=0),1,((SUM($I$24:I62)-(SUM($N$23:N61)))))),"-")</f>
        <v>273.78000000000065</v>
      </c>
      <c r="O62" s="59">
        <f t="shared" ca="1" si="8"/>
        <v>37.58999999999935</v>
      </c>
      <c r="P62" s="60">
        <f t="shared" ca="1" si="9"/>
        <v>311.37</v>
      </c>
      <c r="Q62" s="102">
        <f t="shared" ca="1" si="10"/>
        <v>311.37</v>
      </c>
      <c r="S62" s="103" t="str">
        <f t="shared" ca="1" si="11"/>
        <v>2029/09/07</v>
      </c>
      <c r="T62" s="97" t="str">
        <f t="shared" ca="1" si="12"/>
        <v>2029</v>
      </c>
      <c r="U62" s="97" t="str">
        <f t="shared" ca="1" si="13"/>
        <v>09</v>
      </c>
      <c r="V62" s="97" t="str">
        <f t="shared" ca="1" si="14"/>
        <v>07</v>
      </c>
    </row>
    <row r="63" spans="2:22">
      <c r="B63" s="64">
        <v>40</v>
      </c>
      <c r="C63" s="55">
        <f t="shared" ca="1" si="1"/>
        <v>47398</v>
      </c>
      <c r="D63" s="55">
        <f t="shared" ca="1" si="2"/>
        <v>47418</v>
      </c>
      <c r="E63" s="65">
        <f t="shared" ca="1" si="3"/>
        <v>30</v>
      </c>
      <c r="F63" s="57">
        <f t="shared" ca="1" si="15"/>
        <v>1185</v>
      </c>
      <c r="G63" s="58">
        <f t="shared" ca="1" si="4"/>
        <v>0.57288542200000003</v>
      </c>
      <c r="H63" s="66">
        <f t="shared" ca="1" si="5"/>
        <v>2287.1197518768022</v>
      </c>
      <c r="I63" s="66">
        <f t="shared" ca="1" si="0"/>
        <v>278.89</v>
      </c>
      <c r="J63" s="59">
        <f t="shared" ca="1" si="6"/>
        <v>32.479999999999997</v>
      </c>
      <c r="K63" s="66">
        <f t="shared" ca="1" si="7"/>
        <v>311.37</v>
      </c>
      <c r="L63" s="67">
        <f t="shared" ca="1" si="16"/>
        <v>2008.2297518768023</v>
      </c>
      <c r="M63" s="63">
        <f ca="1">IF($C$16&gt;=B63,(IF(((P63-(J63+(I62*-1)+1))&lt;=0),1,((SUM(I$24:$I63)-(SUM($N$23:$N$25)))))),"-")</f>
        <v>8218.34</v>
      </c>
      <c r="N63" s="62">
        <f ca="1">IF($C$16&gt;=B63,(IF((M63&lt;=0),1,((SUM($I$24:I63)-(SUM($N$23:N62)))))),"-")</f>
        <v>278.88999999999942</v>
      </c>
      <c r="O63" s="59">
        <f t="shared" ca="1" si="8"/>
        <v>32.480000000000587</v>
      </c>
      <c r="P63" s="60">
        <f t="shared" ca="1" si="9"/>
        <v>311.37</v>
      </c>
      <c r="Q63" s="102">
        <f t="shared" ca="1" si="10"/>
        <v>311.37</v>
      </c>
      <c r="S63" s="103" t="str">
        <f t="shared" ca="1" si="11"/>
        <v>2029/10/07</v>
      </c>
      <c r="T63" s="97" t="str">
        <f t="shared" ca="1" si="12"/>
        <v>2029</v>
      </c>
      <c r="U63" s="97" t="str">
        <f t="shared" ca="1" si="13"/>
        <v>10</v>
      </c>
      <c r="V63" s="97" t="str">
        <f t="shared" ca="1" si="14"/>
        <v>07</v>
      </c>
    </row>
    <row r="64" spans="2:22">
      <c r="B64" s="64">
        <v>41</v>
      </c>
      <c r="C64" s="55">
        <f t="shared" ca="1" si="1"/>
        <v>47429</v>
      </c>
      <c r="D64" s="55">
        <f t="shared" ca="1" si="2"/>
        <v>47449</v>
      </c>
      <c r="E64" s="65">
        <f t="shared" ca="1" si="3"/>
        <v>31</v>
      </c>
      <c r="F64" s="57">
        <f t="shared" ca="1" si="15"/>
        <v>1216</v>
      </c>
      <c r="G64" s="58">
        <f t="shared" ca="1" si="4"/>
        <v>0.56459722899999998</v>
      </c>
      <c r="H64" s="66">
        <f t="shared" ca="1" si="5"/>
        <v>2008.2297518768023</v>
      </c>
      <c r="I64" s="66">
        <f t="shared" ca="1" si="0"/>
        <v>281.89</v>
      </c>
      <c r="J64" s="59">
        <f t="shared" ca="1" si="6"/>
        <v>29.48</v>
      </c>
      <c r="K64" s="66">
        <f t="shared" ca="1" si="7"/>
        <v>311.37</v>
      </c>
      <c r="L64" s="67">
        <f t="shared" ca="1" si="16"/>
        <v>1726.3397518768024</v>
      </c>
      <c r="M64" s="63">
        <f ca="1">IF($C$16&gt;=B64,(IF(((P64-(J64+(I63*-1)+1))&lt;=0),1,((SUM(I$24:$I64)-(SUM($N$23:$N$25)))))),"-")</f>
        <v>8500.23</v>
      </c>
      <c r="N64" s="62">
        <f ca="1">IF($C$16&gt;=B64,(IF((M64&lt;=0),1,((SUM($I$24:I64)-(SUM($N$23:N63)))))),"-")</f>
        <v>281.88999999999942</v>
      </c>
      <c r="O64" s="59">
        <f t="shared" ca="1" si="8"/>
        <v>29.480000000000587</v>
      </c>
      <c r="P64" s="60">
        <f t="shared" ca="1" si="9"/>
        <v>311.37</v>
      </c>
      <c r="Q64" s="102">
        <f t="shared" ca="1" si="10"/>
        <v>311.37</v>
      </c>
      <c r="S64" s="103" t="str">
        <f t="shared" ca="1" si="11"/>
        <v>2029/11/07</v>
      </c>
      <c r="T64" s="97" t="str">
        <f t="shared" ca="1" si="12"/>
        <v>2029</v>
      </c>
      <c r="U64" s="97" t="str">
        <f t="shared" ca="1" si="13"/>
        <v>11</v>
      </c>
      <c r="V64" s="97" t="str">
        <f t="shared" ca="1" si="14"/>
        <v>07</v>
      </c>
    </row>
    <row r="65" spans="2:22">
      <c r="B65" s="64">
        <v>42</v>
      </c>
      <c r="C65" s="55">
        <f t="shared" ca="1" si="1"/>
        <v>47459</v>
      </c>
      <c r="D65" s="55">
        <f t="shared" ca="1" si="2"/>
        <v>47479</v>
      </c>
      <c r="E65" s="65">
        <f t="shared" ca="1" si="3"/>
        <v>30</v>
      </c>
      <c r="F65" s="57">
        <f t="shared" ca="1" si="15"/>
        <v>1246</v>
      </c>
      <c r="G65" s="58">
        <f t="shared" ca="1" si="4"/>
        <v>0.55669058400000004</v>
      </c>
      <c r="H65" s="66">
        <f t="shared" ca="1" si="5"/>
        <v>1726.3397518768024</v>
      </c>
      <c r="I65" s="66">
        <f t="shared" ca="1" si="0"/>
        <v>286.85000000000002</v>
      </c>
      <c r="J65" s="59">
        <f t="shared" ca="1" si="6"/>
        <v>24.52</v>
      </c>
      <c r="K65" s="66">
        <f t="shared" ca="1" si="7"/>
        <v>311.37</v>
      </c>
      <c r="L65" s="67">
        <f t="shared" ca="1" si="16"/>
        <v>1439.4897518768025</v>
      </c>
      <c r="M65" s="63">
        <f ca="1">IF($C$16&gt;=B65,(IF(((P65-(J65+(I64*-1)+1))&lt;=0),1,((SUM(I$24:$I65)-(SUM($N$23:$N$25)))))),"-")</f>
        <v>8787.08</v>
      </c>
      <c r="N65" s="62">
        <f ca="1">IF($C$16&gt;=B65,(IF((M65&lt;=0),1,((SUM($I$24:I65)-(SUM($N$23:N64)))))),"-")</f>
        <v>286.85000000000036</v>
      </c>
      <c r="O65" s="59">
        <f t="shared" ca="1" si="8"/>
        <v>24.519999999999641</v>
      </c>
      <c r="P65" s="60">
        <f t="shared" ca="1" si="9"/>
        <v>311.37</v>
      </c>
      <c r="Q65" s="102">
        <f t="shared" ca="1" si="10"/>
        <v>311.37</v>
      </c>
      <c r="S65" s="103" t="str">
        <f t="shared" ca="1" si="11"/>
        <v>2029/12/07</v>
      </c>
      <c r="T65" s="97" t="str">
        <f t="shared" ca="1" si="12"/>
        <v>2029</v>
      </c>
      <c r="U65" s="97" t="str">
        <f t="shared" ca="1" si="13"/>
        <v>12</v>
      </c>
      <c r="V65" s="97" t="str">
        <f t="shared" ca="1" si="14"/>
        <v>07</v>
      </c>
    </row>
    <row r="66" spans="2:22">
      <c r="B66" s="64">
        <v>43</v>
      </c>
      <c r="C66" s="55">
        <f t="shared" ca="1" si="1"/>
        <v>47490</v>
      </c>
      <c r="D66" s="55">
        <f t="shared" ca="1" si="2"/>
        <v>47510</v>
      </c>
      <c r="E66" s="65">
        <f t="shared" ca="1" si="3"/>
        <v>31</v>
      </c>
      <c r="F66" s="57">
        <f t="shared" ca="1" si="15"/>
        <v>1277</v>
      </c>
      <c r="G66" s="58">
        <f t="shared" ca="1" si="4"/>
        <v>0.54863668899999996</v>
      </c>
      <c r="H66" s="66">
        <f t="shared" ca="1" si="5"/>
        <v>1439.4897518768025</v>
      </c>
      <c r="I66" s="66">
        <f t="shared" ca="1" si="0"/>
        <v>290.24</v>
      </c>
      <c r="J66" s="59">
        <f t="shared" ca="1" si="6"/>
        <v>21.13</v>
      </c>
      <c r="K66" s="66">
        <f t="shared" ca="1" si="7"/>
        <v>311.37</v>
      </c>
      <c r="L66" s="67">
        <f t="shared" ca="1" si="16"/>
        <v>1149.2497518768025</v>
      </c>
      <c r="M66" s="63">
        <f ca="1">IF($C$16&gt;=B66,(IF(((P66-(J66+(I65*-1)+1))&lt;=0),1,((SUM(I$24:$I66)-(SUM($N$23:$N$25)))))),"-")</f>
        <v>9077.32</v>
      </c>
      <c r="N66" s="62">
        <f ca="1">IF($C$16&gt;=B66,(IF((M66&lt;=0),1,((SUM($I$24:I66)-(SUM($N$23:N65)))))),"-")</f>
        <v>290.23999999999978</v>
      </c>
      <c r="O66" s="59">
        <f t="shared" ca="1" si="8"/>
        <v>21.130000000000223</v>
      </c>
      <c r="P66" s="60">
        <f t="shared" ca="1" si="9"/>
        <v>311.37</v>
      </c>
      <c r="Q66" s="102">
        <f t="shared" ca="1" si="10"/>
        <v>311.37</v>
      </c>
      <c r="S66" s="103" t="str">
        <f t="shared" ca="1" si="11"/>
        <v>2030/01/07</v>
      </c>
      <c r="T66" s="97" t="str">
        <f t="shared" ca="1" si="12"/>
        <v>2030</v>
      </c>
      <c r="U66" s="97" t="str">
        <f t="shared" ca="1" si="13"/>
        <v>01</v>
      </c>
      <c r="V66" s="97" t="str">
        <f t="shared" ca="1" si="14"/>
        <v>07</v>
      </c>
    </row>
    <row r="67" spans="2:22">
      <c r="B67" s="64">
        <v>44</v>
      </c>
      <c r="C67" s="55">
        <f t="shared" ca="1" si="1"/>
        <v>47521</v>
      </c>
      <c r="D67" s="55">
        <f t="shared" ca="1" si="2"/>
        <v>47541</v>
      </c>
      <c r="E67" s="65">
        <f t="shared" ca="1" si="3"/>
        <v>31</v>
      </c>
      <c r="F67" s="57">
        <f t="shared" ca="1" si="15"/>
        <v>1308</v>
      </c>
      <c r="G67" s="58">
        <f t="shared" ca="1" si="4"/>
        <v>0.54069931299999996</v>
      </c>
      <c r="H67" s="66">
        <f t="shared" ca="1" si="5"/>
        <v>1149.2497518768025</v>
      </c>
      <c r="I67" s="66">
        <f t="shared" ca="1" si="0"/>
        <v>294.5</v>
      </c>
      <c r="J67" s="59">
        <f t="shared" ca="1" si="6"/>
        <v>16.87</v>
      </c>
      <c r="K67" s="66">
        <f t="shared" ca="1" si="7"/>
        <v>311.37</v>
      </c>
      <c r="L67" s="67">
        <f t="shared" ca="1" si="16"/>
        <v>854.74975187680252</v>
      </c>
      <c r="M67" s="63">
        <f ca="1">IF($C$16&gt;=B67,(IF(((P67-(J67+(I66*-1)+1))&lt;=0),1,((SUM(I$24:$I67)-(SUM($N$23:$N$25)))))),"-")</f>
        <v>9371.82</v>
      </c>
      <c r="N67" s="62">
        <f ca="1">IF($C$16&gt;=B67,(IF((M67&lt;=0),1,((SUM($I$24:I67)-(SUM($N$23:N66)))))),"-")</f>
        <v>294.5</v>
      </c>
      <c r="O67" s="59">
        <f t="shared" ca="1" si="8"/>
        <v>16.870000000000005</v>
      </c>
      <c r="P67" s="60">
        <f t="shared" ca="1" si="9"/>
        <v>311.37</v>
      </c>
      <c r="Q67" s="102">
        <f t="shared" ca="1" si="10"/>
        <v>311.37</v>
      </c>
      <c r="S67" s="103" t="str">
        <f t="shared" ca="1" si="11"/>
        <v>2030/02/07</v>
      </c>
      <c r="T67" s="97" t="str">
        <f t="shared" ca="1" si="12"/>
        <v>2030</v>
      </c>
      <c r="U67" s="97" t="str">
        <f t="shared" ca="1" si="13"/>
        <v>02</v>
      </c>
      <c r="V67" s="97" t="str">
        <f t="shared" ca="1" si="14"/>
        <v>07</v>
      </c>
    </row>
    <row r="68" spans="2:22">
      <c r="B68" s="64">
        <v>45</v>
      </c>
      <c r="C68" s="55">
        <f t="shared" ca="1" si="1"/>
        <v>47549</v>
      </c>
      <c r="D68" s="55">
        <f t="shared" ca="1" si="2"/>
        <v>47569</v>
      </c>
      <c r="E68" s="65">
        <f t="shared" ca="1" si="3"/>
        <v>28</v>
      </c>
      <c r="F68" s="57">
        <f t="shared" ca="1" si="15"/>
        <v>1336</v>
      </c>
      <c r="G68" s="58">
        <f t="shared" ca="1" si="4"/>
        <v>0.53362881900000003</v>
      </c>
      <c r="H68" s="66">
        <f t="shared" ca="1" si="5"/>
        <v>854.74975187680252</v>
      </c>
      <c r="I68" s="66">
        <f t="shared" ca="1" si="0"/>
        <v>300.04000000000002</v>
      </c>
      <c r="J68" s="59">
        <f t="shared" ca="1" si="6"/>
        <v>11.33</v>
      </c>
      <c r="K68" s="66">
        <f t="shared" ca="1" si="7"/>
        <v>311.37</v>
      </c>
      <c r="L68" s="67">
        <f t="shared" ca="1" si="16"/>
        <v>554.70975187680256</v>
      </c>
      <c r="M68" s="63">
        <f ca="1">IF($C$16&gt;=B68,(IF(((P68-(J68+(I67*-1)+1))&lt;=0),1,((SUM(I$24:$I68)-(SUM($N$23:$N$25)))))),"-")</f>
        <v>9671.86</v>
      </c>
      <c r="N68" s="62">
        <f ca="1">IF($C$16&gt;=B68,(IF((M68&lt;=0),1,((SUM($I$24:I68)-(SUM($N$23:N67)))))),"-")</f>
        <v>300.04000000000087</v>
      </c>
      <c r="O68" s="59">
        <f t="shared" ca="1" si="8"/>
        <v>11.329999999999131</v>
      </c>
      <c r="P68" s="60">
        <f t="shared" ca="1" si="9"/>
        <v>311.37</v>
      </c>
      <c r="Q68" s="102">
        <f t="shared" ca="1" si="10"/>
        <v>311.37</v>
      </c>
      <c r="S68" s="103" t="str">
        <f t="shared" ca="1" si="11"/>
        <v>2030/03/07</v>
      </c>
      <c r="T68" s="97" t="str">
        <f t="shared" ca="1" si="12"/>
        <v>2030</v>
      </c>
      <c r="U68" s="97" t="str">
        <f t="shared" ca="1" si="13"/>
        <v>03</v>
      </c>
      <c r="V68" s="97" t="str">
        <f t="shared" ca="1" si="14"/>
        <v>07</v>
      </c>
    </row>
    <row r="69" spans="2:22">
      <c r="B69" s="64">
        <v>46</v>
      </c>
      <c r="C69" s="55">
        <f t="shared" ca="1" si="1"/>
        <v>47580</v>
      </c>
      <c r="D69" s="55">
        <f t="shared" ca="1" si="2"/>
        <v>47600</v>
      </c>
      <c r="E69" s="65">
        <f t="shared" ca="1" si="3"/>
        <v>31</v>
      </c>
      <c r="F69" s="57">
        <f t="shared" ca="1" si="15"/>
        <v>1367</v>
      </c>
      <c r="G69" s="58">
        <f t="shared" ca="1" si="4"/>
        <v>0.52590856900000005</v>
      </c>
      <c r="H69" s="66">
        <f t="shared" ca="1" si="5"/>
        <v>554.70975187680256</v>
      </c>
      <c r="I69" s="66">
        <f t="shared" ca="1" si="0"/>
        <v>303.23</v>
      </c>
      <c r="J69" s="59">
        <f t="shared" ca="1" si="6"/>
        <v>8.14</v>
      </c>
      <c r="K69" s="66">
        <f t="shared" ca="1" si="7"/>
        <v>311.37</v>
      </c>
      <c r="L69" s="67">
        <f t="shared" ca="1" si="16"/>
        <v>251.47975187680254</v>
      </c>
      <c r="M69" s="63">
        <f ca="1">IF($C$16&gt;=B69,(IF(((P69-(J69+(I68*-1)+1))&lt;=0),1,((SUM(I$24:$I69)-(SUM($N$23:$N$25)))))),"-")</f>
        <v>9975.09</v>
      </c>
      <c r="N69" s="62">
        <f ca="1">IF($C$16&gt;=B69,(IF((M69&lt;=0),1,((SUM($I$24:I69)-(SUM($N$23:N68)))))),"-")</f>
        <v>303.22999999999956</v>
      </c>
      <c r="O69" s="59">
        <f t="shared" ca="1" si="8"/>
        <v>8.1400000000004411</v>
      </c>
      <c r="P69" s="60">
        <f t="shared" ca="1" si="9"/>
        <v>311.37</v>
      </c>
      <c r="Q69" s="102">
        <f t="shared" ca="1" si="10"/>
        <v>311.37</v>
      </c>
      <c r="S69" s="103" t="str">
        <f t="shared" ca="1" si="11"/>
        <v>2030/04/07</v>
      </c>
      <c r="T69" s="97" t="str">
        <f t="shared" ca="1" si="12"/>
        <v>2030</v>
      </c>
      <c r="U69" s="97" t="str">
        <f t="shared" ca="1" si="13"/>
        <v>04</v>
      </c>
      <c r="V69" s="97" t="str">
        <f t="shared" ca="1" si="14"/>
        <v>07</v>
      </c>
    </row>
    <row r="70" spans="2:22">
      <c r="B70" s="64">
        <v>47</v>
      </c>
      <c r="C70" s="55">
        <f t="shared" ca="1" si="1"/>
        <v>47610</v>
      </c>
      <c r="D70" s="55">
        <f t="shared" ca="1" si="2"/>
        <v>47630</v>
      </c>
      <c r="E70" s="65">
        <f t="shared" ca="1" si="3"/>
        <v>30</v>
      </c>
      <c r="F70" s="57">
        <f t="shared" ca="1" si="15"/>
        <v>1397</v>
      </c>
      <c r="G70" s="58">
        <f t="shared" ca="1" si="4"/>
        <v>0.51854372199999998</v>
      </c>
      <c r="H70" s="66">
        <f t="shared" ca="1" si="5"/>
        <v>251.47975187680254</v>
      </c>
      <c r="I70" s="66">
        <f ca="1">IF($C$16=B70,H70,IF($C$16&gt;=B70,K70-J70,"-"))</f>
        <v>307.8</v>
      </c>
      <c r="J70" s="59">
        <f t="shared" ca="1" si="6"/>
        <v>3.57</v>
      </c>
      <c r="K70" s="66">
        <f t="shared" ca="1" si="7"/>
        <v>311.37</v>
      </c>
      <c r="L70" s="67">
        <f t="shared" ca="1" si="16"/>
        <v>-56.320248123197473</v>
      </c>
      <c r="M70" s="63">
        <f ca="1">IF($C$16&gt;=B70,(IF(((P70-(J70+(I69*-1)+1))&lt;=0),1,((SUM(I$24:$I70)-(SUM($N$23:$N$25)))))),"-")</f>
        <v>10282.89</v>
      </c>
      <c r="N70" s="62">
        <f ca="1">IF($C$16&gt;=B70,(IF((M70&lt;=0),1,((SUM($I$24:I70)-(SUM($N$23:N69)))))),"-")</f>
        <v>307.79999999999927</v>
      </c>
      <c r="O70" s="59">
        <f t="shared" ca="1" si="8"/>
        <v>3.5700000000007321</v>
      </c>
      <c r="P70" s="60">
        <f t="shared" ca="1" si="9"/>
        <v>311.37</v>
      </c>
      <c r="Q70" s="102">
        <f t="shared" ca="1" si="10"/>
        <v>311.37</v>
      </c>
      <c r="S70" s="103" t="str">
        <f t="shared" ca="1" si="11"/>
        <v>2030/05/07</v>
      </c>
      <c r="T70" s="97" t="str">
        <f t="shared" ca="1" si="12"/>
        <v>2030</v>
      </c>
      <c r="U70" s="97" t="str">
        <f t="shared" ca="1" si="13"/>
        <v>05</v>
      </c>
      <c r="V70" s="97" t="str">
        <f t="shared" ca="1" si="14"/>
        <v>07</v>
      </c>
    </row>
    <row r="71" spans="2:22">
      <c r="B71" s="64">
        <v>48</v>
      </c>
      <c r="C71" s="55">
        <f t="shared" ca="1" si="1"/>
        <v>47641</v>
      </c>
      <c r="D71" s="55">
        <f t="shared" ca="1" si="2"/>
        <v>47661</v>
      </c>
      <c r="E71" s="65">
        <f t="shared" ca="1" si="3"/>
        <v>31</v>
      </c>
      <c r="F71" s="57">
        <f t="shared" ca="1" si="15"/>
        <v>1428</v>
      </c>
      <c r="G71" s="58">
        <f t="shared" ca="1" si="4"/>
        <v>0.51104171499999995</v>
      </c>
      <c r="H71" s="66">
        <f t="shared" ca="1" si="5"/>
        <v>-56.320248123197473</v>
      </c>
      <c r="I71" s="66">
        <f t="shared" ca="1" si="0"/>
        <v>-56.320248123197473</v>
      </c>
      <c r="J71" s="59">
        <f t="shared" ca="1" si="6"/>
        <v>367.69024812319748</v>
      </c>
      <c r="K71" s="66">
        <f t="shared" ca="1" si="7"/>
        <v>311.37</v>
      </c>
      <c r="L71" s="67">
        <f t="shared" ca="1" si="16"/>
        <v>0</v>
      </c>
      <c r="M71" s="63">
        <f ca="1">IF($C$16&gt;=B71,(IF(((P71-(J71+(I70*-1)+1))&lt;=0),1,((SUM(I$24:$I71)-(SUM($N$23:$N$25)))))),"-")</f>
        <v>10226.569751876801</v>
      </c>
      <c r="N71" s="62">
        <f ca="1">IF($C$16&gt;=B71,(IF((M71&lt;=0),1,((SUM($I$24:I71)-(SUM($N$23:N70)))))),"-")</f>
        <v>-56.320248123198326</v>
      </c>
      <c r="O71" s="59">
        <f t="shared" ca="1" si="8"/>
        <v>367.69024812319833</v>
      </c>
      <c r="P71" s="60">
        <f t="shared" ca="1" si="9"/>
        <v>311.37</v>
      </c>
      <c r="Q71" s="102">
        <f t="shared" ca="1" si="10"/>
        <v>311.37</v>
      </c>
      <c r="S71" s="103" t="str">
        <f t="shared" ca="1" si="11"/>
        <v>2030/06/07</v>
      </c>
      <c r="T71" s="97" t="str">
        <f t="shared" ca="1" si="12"/>
        <v>2030</v>
      </c>
      <c r="U71" s="97" t="str">
        <f t="shared" ca="1" si="13"/>
        <v>06</v>
      </c>
      <c r="V71" s="97" t="str">
        <f t="shared" ca="1" si="14"/>
        <v>07</v>
      </c>
    </row>
    <row r="72" spans="2:22">
      <c r="B72" s="64">
        <v>49</v>
      </c>
      <c r="C72" s="55" t="str">
        <f t="shared" ref="C72:C86" si="17">IF($C$16&gt;=B72,DATE(YEAR(C71),MONTH(C71)+1,DAY(C71)),"-")</f>
        <v>-</v>
      </c>
      <c r="D72" s="55" t="str">
        <f t="shared" ref="D72:D86" si="18">IF($C$16&gt;=B72,C72+$O$14,"-")</f>
        <v>-</v>
      </c>
      <c r="E72" s="65" t="str">
        <f t="shared" ref="E72:E86" si="19">IF($C$16&gt;=B72,D72-D71,"-")</f>
        <v>-</v>
      </c>
      <c r="F72" s="57" t="str">
        <f t="shared" ref="F72:F86" si="20">IF($C$16&gt;=B72,E72+F71,"-")</f>
        <v>-</v>
      </c>
      <c r="G72" s="58" t="str">
        <f t="shared" ref="G72:G86" si="21">IF($C$16&gt;=B72,ROUND(1/((1+$C$12)^(F72/360)),9),"-")</f>
        <v>-</v>
      </c>
      <c r="H72" s="66" t="str">
        <f t="shared" ref="H72:H86" si="22">IF($C$16&gt;=B72,L71,"-")</f>
        <v>-</v>
      </c>
      <c r="I72" s="66" t="str">
        <f t="shared" ref="I72:I86" si="23">IF($C$16=B72,H72,IF($C$16&gt;=B72,K72-J72,"-"))</f>
        <v>-</v>
      </c>
      <c r="J72" s="59" t="str">
        <f t="shared" ref="J72:J86" si="24">IF($C$16=B72,K72-I72,IF($C$16&gt;=B72,ROUND(H72*((1+$C$12)^(E72/360)-1),2),"-"))</f>
        <v>-</v>
      </c>
      <c r="K72" s="66" t="str">
        <f t="shared" ref="K72:K86" si="25">IF($C$16&gt;=B72,ROUND($F$15/$G$87,2),"-")</f>
        <v>-</v>
      </c>
      <c r="L72" s="67" t="str">
        <f t="shared" ref="L72:L86" si="26">IF($C$16&gt;=B72,H72-I72,"-")</f>
        <v>-</v>
      </c>
      <c r="M72" s="63" t="str">
        <f>IF($C$16&gt;=B72,(IF(((P72-(J72+(I71*-1)+1))&lt;=0),1,((SUM(I$24:$I72)-(SUM($N$23:$N$25)))))),"-")</f>
        <v>-</v>
      </c>
      <c r="N72" s="62" t="str">
        <f>IF($C$16&gt;=B72,(IF((M72&lt;=0),1,((SUM($I$24:I72)-(SUM($N$23:N71)))))),"-")</f>
        <v>-</v>
      </c>
      <c r="O72" s="59" t="str">
        <f t="shared" ref="O72:O86" si="27">IF($C$16&gt;=B72,(P72-N72),"-")</f>
        <v>-</v>
      </c>
      <c r="P72" s="60" t="str">
        <f t="shared" ref="P72:P86" si="28">IF($C$16&gt;=B72,(VALUE(K72)),"-")</f>
        <v>-</v>
      </c>
      <c r="Q72" s="102" t="str">
        <f t="shared" ref="Q72:Q86" si="29">P72</f>
        <v>-</v>
      </c>
      <c r="S72" s="103" t="str">
        <f t="shared" ref="S72:S86" si="30">TEXT(C72,"yyyy/mm/dd")</f>
        <v>-</v>
      </c>
      <c r="T72" s="97" t="str">
        <f t="shared" ref="T72:T86" ca="1" si="31">IF(VALUE(U71)=12,TEXT(VALUE(T71)+1,"0000"),T71)</f>
        <v>2030</v>
      </c>
      <c r="U72" s="97" t="str">
        <f t="shared" ca="1" si="13"/>
        <v>07</v>
      </c>
      <c r="V72" s="97" t="str">
        <f t="shared" ca="1" si="14"/>
        <v>07</v>
      </c>
    </row>
    <row r="73" spans="2:22">
      <c r="B73" s="64">
        <v>50</v>
      </c>
      <c r="C73" s="55" t="str">
        <f t="shared" si="17"/>
        <v>-</v>
      </c>
      <c r="D73" s="55" t="str">
        <f t="shared" si="18"/>
        <v>-</v>
      </c>
      <c r="E73" s="65" t="str">
        <f t="shared" si="19"/>
        <v>-</v>
      </c>
      <c r="F73" s="57" t="str">
        <f t="shared" si="20"/>
        <v>-</v>
      </c>
      <c r="G73" s="58" t="str">
        <f t="shared" si="21"/>
        <v>-</v>
      </c>
      <c r="H73" s="66" t="str">
        <f t="shared" si="22"/>
        <v>-</v>
      </c>
      <c r="I73" s="66" t="str">
        <f t="shared" si="23"/>
        <v>-</v>
      </c>
      <c r="J73" s="59" t="str">
        <f t="shared" si="24"/>
        <v>-</v>
      </c>
      <c r="K73" s="66" t="str">
        <f t="shared" si="25"/>
        <v>-</v>
      </c>
      <c r="L73" s="67" t="str">
        <f t="shared" si="26"/>
        <v>-</v>
      </c>
      <c r="M73" s="63" t="str">
        <f>IF($C$16&gt;=B73,(IF(((P73-(J73+(I72*-1)+1))&lt;=0),1,((SUM(I$24:$I73)-(SUM($N$23:$N$25)))))),"-")</f>
        <v>-</v>
      </c>
      <c r="N73" s="62" t="str">
        <f>IF($C$16&gt;=B73,(IF((M73&lt;=0),1,((SUM($I$24:I73)-(SUM($N$23:N72)))))),"-")</f>
        <v>-</v>
      </c>
      <c r="O73" s="59" t="str">
        <f t="shared" si="27"/>
        <v>-</v>
      </c>
      <c r="P73" s="60" t="str">
        <f t="shared" si="28"/>
        <v>-</v>
      </c>
      <c r="Q73" s="102" t="str">
        <f t="shared" si="29"/>
        <v>-</v>
      </c>
      <c r="S73" s="103" t="str">
        <f t="shared" si="30"/>
        <v>-</v>
      </c>
      <c r="T73" s="97" t="str">
        <f t="shared" ca="1" si="31"/>
        <v>2030</v>
      </c>
      <c r="U73" s="97" t="str">
        <f t="shared" ca="1" si="13"/>
        <v>08</v>
      </c>
      <c r="V73" s="97" t="str">
        <f t="shared" ca="1" si="14"/>
        <v>07</v>
      </c>
    </row>
    <row r="74" spans="2:22">
      <c r="B74" s="64">
        <v>51</v>
      </c>
      <c r="C74" s="55" t="str">
        <f t="shared" si="17"/>
        <v>-</v>
      </c>
      <c r="D74" s="55" t="str">
        <f t="shared" si="18"/>
        <v>-</v>
      </c>
      <c r="E74" s="65" t="str">
        <f t="shared" si="19"/>
        <v>-</v>
      </c>
      <c r="F74" s="57" t="str">
        <f t="shared" si="20"/>
        <v>-</v>
      </c>
      <c r="G74" s="58" t="str">
        <f t="shared" si="21"/>
        <v>-</v>
      </c>
      <c r="H74" s="66" t="str">
        <f t="shared" si="22"/>
        <v>-</v>
      </c>
      <c r="I74" s="66" t="str">
        <f t="shared" si="23"/>
        <v>-</v>
      </c>
      <c r="J74" s="59" t="str">
        <f t="shared" si="24"/>
        <v>-</v>
      </c>
      <c r="K74" s="66" t="str">
        <f t="shared" si="25"/>
        <v>-</v>
      </c>
      <c r="L74" s="67" t="str">
        <f t="shared" si="26"/>
        <v>-</v>
      </c>
      <c r="M74" s="63" t="str">
        <f>IF($C$16&gt;=B74,(IF(((P74-(J74+(I73*-1)+1))&lt;=0),1,((SUM(I$24:$I74)-(SUM($N$23:$N$25)))))),"-")</f>
        <v>-</v>
      </c>
      <c r="N74" s="62" t="str">
        <f>IF($C$16&gt;=B74,(IF((M74&lt;=0),1,((SUM($I$24:I74)-(SUM($N$23:N73)))))),"-")</f>
        <v>-</v>
      </c>
      <c r="O74" s="59" t="str">
        <f t="shared" si="27"/>
        <v>-</v>
      </c>
      <c r="P74" s="60" t="str">
        <f t="shared" si="28"/>
        <v>-</v>
      </c>
      <c r="Q74" s="102" t="str">
        <f t="shared" si="29"/>
        <v>-</v>
      </c>
      <c r="S74" s="103" t="str">
        <f t="shared" si="30"/>
        <v>-</v>
      </c>
      <c r="T74" s="97" t="str">
        <f t="shared" ca="1" si="31"/>
        <v>2030</v>
      </c>
      <c r="U74" s="97" t="str">
        <f t="shared" ca="1" si="13"/>
        <v>09</v>
      </c>
      <c r="V74" s="97" t="str">
        <f t="shared" ca="1" si="14"/>
        <v>07</v>
      </c>
    </row>
    <row r="75" spans="2:22">
      <c r="B75" s="64">
        <v>52</v>
      </c>
      <c r="C75" s="55" t="str">
        <f t="shared" si="17"/>
        <v>-</v>
      </c>
      <c r="D75" s="55" t="str">
        <f t="shared" si="18"/>
        <v>-</v>
      </c>
      <c r="E75" s="65" t="str">
        <f t="shared" si="19"/>
        <v>-</v>
      </c>
      <c r="F75" s="57" t="str">
        <f t="shared" si="20"/>
        <v>-</v>
      </c>
      <c r="G75" s="58" t="str">
        <f t="shared" si="21"/>
        <v>-</v>
      </c>
      <c r="H75" s="66" t="str">
        <f t="shared" si="22"/>
        <v>-</v>
      </c>
      <c r="I75" s="66" t="str">
        <f t="shared" si="23"/>
        <v>-</v>
      </c>
      <c r="J75" s="59" t="str">
        <f t="shared" si="24"/>
        <v>-</v>
      </c>
      <c r="K75" s="66" t="str">
        <f t="shared" si="25"/>
        <v>-</v>
      </c>
      <c r="L75" s="67" t="str">
        <f t="shared" si="26"/>
        <v>-</v>
      </c>
      <c r="M75" s="63" t="str">
        <f>IF($C$16&gt;=B75,(IF(((P75-(J75+(I74*-1)+1))&lt;=0),1,((SUM(I$24:$I75)-(SUM($N$23:$N$25)))))),"-")</f>
        <v>-</v>
      </c>
      <c r="N75" s="62" t="str">
        <f>IF($C$16&gt;=B75,(IF((M75&lt;=0),1,((SUM($I$24:I75)-(SUM($N$23:N74)))))),"-")</f>
        <v>-</v>
      </c>
      <c r="O75" s="59" t="str">
        <f t="shared" si="27"/>
        <v>-</v>
      </c>
      <c r="P75" s="60" t="str">
        <f t="shared" si="28"/>
        <v>-</v>
      </c>
      <c r="Q75" s="102" t="str">
        <f t="shared" si="29"/>
        <v>-</v>
      </c>
      <c r="S75" s="103" t="str">
        <f t="shared" si="30"/>
        <v>-</v>
      </c>
      <c r="T75" s="97" t="str">
        <f t="shared" ca="1" si="31"/>
        <v>2030</v>
      </c>
      <c r="U75" s="97" t="str">
        <f t="shared" ca="1" si="13"/>
        <v>10</v>
      </c>
      <c r="V75" s="97" t="str">
        <f t="shared" ca="1" si="14"/>
        <v>07</v>
      </c>
    </row>
    <row r="76" spans="2:22">
      <c r="B76" s="64">
        <v>53</v>
      </c>
      <c r="C76" s="55" t="str">
        <f t="shared" si="17"/>
        <v>-</v>
      </c>
      <c r="D76" s="55" t="str">
        <f t="shared" si="18"/>
        <v>-</v>
      </c>
      <c r="E76" s="65" t="str">
        <f t="shared" si="19"/>
        <v>-</v>
      </c>
      <c r="F76" s="57" t="str">
        <f t="shared" si="20"/>
        <v>-</v>
      </c>
      <c r="G76" s="58" t="str">
        <f t="shared" si="21"/>
        <v>-</v>
      </c>
      <c r="H76" s="66" t="str">
        <f t="shared" si="22"/>
        <v>-</v>
      </c>
      <c r="I76" s="66" t="str">
        <f t="shared" si="23"/>
        <v>-</v>
      </c>
      <c r="J76" s="59" t="str">
        <f t="shared" si="24"/>
        <v>-</v>
      </c>
      <c r="K76" s="66" t="str">
        <f t="shared" si="25"/>
        <v>-</v>
      </c>
      <c r="L76" s="67" t="str">
        <f t="shared" si="26"/>
        <v>-</v>
      </c>
      <c r="M76" s="63" t="str">
        <f>IF($C$16&gt;=B76,(IF(((P76-(J76+(I75*-1)+1))&lt;=0),1,((SUM(I$24:$I76)-(SUM($N$23:$N$25)))))),"-")</f>
        <v>-</v>
      </c>
      <c r="N76" s="62" t="str">
        <f>IF($C$16&gt;=B76,(IF((M76&lt;=0),1,((SUM($I$24:I76)-(SUM($N$23:N75)))))),"-")</f>
        <v>-</v>
      </c>
      <c r="O76" s="59" t="str">
        <f t="shared" si="27"/>
        <v>-</v>
      </c>
      <c r="P76" s="60" t="str">
        <f t="shared" si="28"/>
        <v>-</v>
      </c>
      <c r="Q76" s="102" t="str">
        <f t="shared" si="29"/>
        <v>-</v>
      </c>
      <c r="S76" s="103" t="str">
        <f t="shared" si="30"/>
        <v>-</v>
      </c>
      <c r="T76" s="97" t="str">
        <f t="shared" ca="1" si="31"/>
        <v>2030</v>
      </c>
      <c r="U76" s="97" t="str">
        <f t="shared" ca="1" si="13"/>
        <v>11</v>
      </c>
      <c r="V76" s="97" t="str">
        <f t="shared" ca="1" si="14"/>
        <v>07</v>
      </c>
    </row>
    <row r="77" spans="2:22">
      <c r="B77" s="64">
        <v>54</v>
      </c>
      <c r="C77" s="55" t="str">
        <f t="shared" si="17"/>
        <v>-</v>
      </c>
      <c r="D77" s="55" t="str">
        <f t="shared" si="18"/>
        <v>-</v>
      </c>
      <c r="E77" s="65" t="str">
        <f t="shared" si="19"/>
        <v>-</v>
      </c>
      <c r="F77" s="57" t="str">
        <f t="shared" si="20"/>
        <v>-</v>
      </c>
      <c r="G77" s="58" t="str">
        <f t="shared" si="21"/>
        <v>-</v>
      </c>
      <c r="H77" s="66" t="str">
        <f t="shared" si="22"/>
        <v>-</v>
      </c>
      <c r="I77" s="66" t="str">
        <f t="shared" si="23"/>
        <v>-</v>
      </c>
      <c r="J77" s="59" t="str">
        <f t="shared" si="24"/>
        <v>-</v>
      </c>
      <c r="K77" s="66" t="str">
        <f t="shared" si="25"/>
        <v>-</v>
      </c>
      <c r="L77" s="67" t="str">
        <f t="shared" si="26"/>
        <v>-</v>
      </c>
      <c r="M77" s="63" t="str">
        <f>IF($C$16&gt;=B77,(IF(((P77-(J77+(I76*-1)+1))&lt;=0),1,((SUM(I$24:$I77)-(SUM($N$23:$N$25)))))),"-")</f>
        <v>-</v>
      </c>
      <c r="N77" s="62" t="str">
        <f>IF($C$16&gt;=B77,(IF((M77&lt;=0),1,((SUM($I$24:I77)-(SUM($N$23:N76)))))),"-")</f>
        <v>-</v>
      </c>
      <c r="O77" s="59" t="str">
        <f t="shared" si="27"/>
        <v>-</v>
      </c>
      <c r="P77" s="60" t="str">
        <f t="shared" si="28"/>
        <v>-</v>
      </c>
      <c r="Q77" s="102" t="str">
        <f t="shared" si="29"/>
        <v>-</v>
      </c>
      <c r="S77" s="103" t="str">
        <f t="shared" si="30"/>
        <v>-</v>
      </c>
      <c r="T77" s="97" t="str">
        <f t="shared" ca="1" si="31"/>
        <v>2030</v>
      </c>
      <c r="U77" s="97" t="str">
        <f t="shared" ca="1" si="13"/>
        <v>12</v>
      </c>
      <c r="V77" s="97" t="str">
        <f t="shared" ca="1" si="14"/>
        <v>07</v>
      </c>
    </row>
    <row r="78" spans="2:22">
      <c r="B78" s="64">
        <v>55</v>
      </c>
      <c r="C78" s="55" t="str">
        <f t="shared" si="17"/>
        <v>-</v>
      </c>
      <c r="D78" s="55" t="str">
        <f t="shared" si="18"/>
        <v>-</v>
      </c>
      <c r="E78" s="65" t="str">
        <f t="shared" si="19"/>
        <v>-</v>
      </c>
      <c r="F78" s="57" t="str">
        <f t="shared" si="20"/>
        <v>-</v>
      </c>
      <c r="G78" s="58" t="str">
        <f t="shared" si="21"/>
        <v>-</v>
      </c>
      <c r="H78" s="66" t="str">
        <f t="shared" si="22"/>
        <v>-</v>
      </c>
      <c r="I78" s="66" t="str">
        <f t="shared" si="23"/>
        <v>-</v>
      </c>
      <c r="J78" s="59" t="str">
        <f t="shared" si="24"/>
        <v>-</v>
      </c>
      <c r="K78" s="66" t="str">
        <f t="shared" si="25"/>
        <v>-</v>
      </c>
      <c r="L78" s="67" t="str">
        <f t="shared" si="26"/>
        <v>-</v>
      </c>
      <c r="M78" s="63" t="str">
        <f>IF($C$16&gt;=B78,(IF(((P78-(J78+(I77*-1)+1))&lt;=0),1,((SUM(I$24:$I78)-(SUM($N$23:$N$25)))))),"-")</f>
        <v>-</v>
      </c>
      <c r="N78" s="62" t="str">
        <f>IF($C$16&gt;=B78,(IF((M78&lt;=0),1,((SUM($I$24:I78)-(SUM($N$23:N77)))))),"-")</f>
        <v>-</v>
      </c>
      <c r="O78" s="59" t="str">
        <f t="shared" si="27"/>
        <v>-</v>
      </c>
      <c r="P78" s="60" t="str">
        <f t="shared" si="28"/>
        <v>-</v>
      </c>
      <c r="Q78" s="102" t="str">
        <f t="shared" si="29"/>
        <v>-</v>
      </c>
      <c r="S78" s="103" t="str">
        <f t="shared" si="30"/>
        <v>-</v>
      </c>
      <c r="T78" s="97" t="str">
        <f t="shared" ca="1" si="31"/>
        <v>2031</v>
      </c>
      <c r="U78" s="97" t="str">
        <f t="shared" ca="1" si="13"/>
        <v>01</v>
      </c>
      <c r="V78" s="97" t="str">
        <f t="shared" ca="1" si="14"/>
        <v>07</v>
      </c>
    </row>
    <row r="79" spans="2:22">
      <c r="B79" s="64">
        <v>56</v>
      </c>
      <c r="C79" s="55" t="str">
        <f t="shared" si="17"/>
        <v>-</v>
      </c>
      <c r="D79" s="55" t="str">
        <f t="shared" si="18"/>
        <v>-</v>
      </c>
      <c r="E79" s="65" t="str">
        <f t="shared" si="19"/>
        <v>-</v>
      </c>
      <c r="F79" s="57" t="str">
        <f t="shared" si="20"/>
        <v>-</v>
      </c>
      <c r="G79" s="58" t="str">
        <f t="shared" si="21"/>
        <v>-</v>
      </c>
      <c r="H79" s="66" t="str">
        <f t="shared" si="22"/>
        <v>-</v>
      </c>
      <c r="I79" s="66" t="str">
        <f t="shared" si="23"/>
        <v>-</v>
      </c>
      <c r="J79" s="59" t="str">
        <f t="shared" si="24"/>
        <v>-</v>
      </c>
      <c r="K79" s="66" t="str">
        <f t="shared" si="25"/>
        <v>-</v>
      </c>
      <c r="L79" s="67" t="str">
        <f t="shared" si="26"/>
        <v>-</v>
      </c>
      <c r="M79" s="63" t="str">
        <f>IF($C$16&gt;=B79,(IF(((P79-(J79+(I78*-1)+1))&lt;=0),1,((SUM(I$24:$I79)-(SUM($N$23:$N$25)))))),"-")</f>
        <v>-</v>
      </c>
      <c r="N79" s="62" t="str">
        <f>IF($C$16&gt;=B79,(IF((M79&lt;=0),1,((SUM($I$24:I79)-(SUM($N$23:N78)))))),"-")</f>
        <v>-</v>
      </c>
      <c r="O79" s="59" t="str">
        <f t="shared" si="27"/>
        <v>-</v>
      </c>
      <c r="P79" s="60" t="str">
        <f t="shared" si="28"/>
        <v>-</v>
      </c>
      <c r="Q79" s="102" t="str">
        <f t="shared" si="29"/>
        <v>-</v>
      </c>
      <c r="S79" s="103" t="str">
        <f t="shared" si="30"/>
        <v>-</v>
      </c>
      <c r="T79" s="97" t="str">
        <f t="shared" ca="1" si="31"/>
        <v>2031</v>
      </c>
      <c r="U79" s="97" t="str">
        <f t="shared" ca="1" si="13"/>
        <v>02</v>
      </c>
      <c r="V79" s="97" t="str">
        <f t="shared" ca="1" si="14"/>
        <v>07</v>
      </c>
    </row>
    <row r="80" spans="2:22">
      <c r="B80" s="64">
        <v>57</v>
      </c>
      <c r="C80" s="55" t="str">
        <f t="shared" si="17"/>
        <v>-</v>
      </c>
      <c r="D80" s="55" t="str">
        <f t="shared" si="18"/>
        <v>-</v>
      </c>
      <c r="E80" s="65" t="str">
        <f t="shared" si="19"/>
        <v>-</v>
      </c>
      <c r="F80" s="57" t="str">
        <f t="shared" si="20"/>
        <v>-</v>
      </c>
      <c r="G80" s="58" t="str">
        <f t="shared" si="21"/>
        <v>-</v>
      </c>
      <c r="H80" s="66" t="str">
        <f t="shared" si="22"/>
        <v>-</v>
      </c>
      <c r="I80" s="66" t="str">
        <f t="shared" si="23"/>
        <v>-</v>
      </c>
      <c r="J80" s="59" t="str">
        <f t="shared" si="24"/>
        <v>-</v>
      </c>
      <c r="K80" s="66" t="str">
        <f t="shared" si="25"/>
        <v>-</v>
      </c>
      <c r="L80" s="67" t="str">
        <f t="shared" si="26"/>
        <v>-</v>
      </c>
      <c r="M80" s="63" t="str">
        <f>IF($C$16&gt;=B80,(IF(((P80-(J80+(I79*-1)+1))&lt;=0),1,((SUM(I$24:$I80)-(SUM($N$23:$N$25)))))),"-")</f>
        <v>-</v>
      </c>
      <c r="N80" s="62" t="str">
        <f>IF($C$16&gt;=B80,(IF((M80&lt;=0),1,((SUM($I$24:I80)-(SUM($N$23:N79)))))),"-")</f>
        <v>-</v>
      </c>
      <c r="O80" s="59" t="str">
        <f t="shared" si="27"/>
        <v>-</v>
      </c>
      <c r="P80" s="60" t="str">
        <f t="shared" si="28"/>
        <v>-</v>
      </c>
      <c r="Q80" s="102" t="str">
        <f t="shared" si="29"/>
        <v>-</v>
      </c>
      <c r="S80" s="103" t="str">
        <f t="shared" si="30"/>
        <v>-</v>
      </c>
      <c r="T80" s="97" t="str">
        <f t="shared" ca="1" si="31"/>
        <v>2031</v>
      </c>
      <c r="U80" s="97" t="str">
        <f t="shared" ca="1" si="13"/>
        <v>03</v>
      </c>
      <c r="V80" s="97" t="str">
        <f t="shared" ca="1" si="14"/>
        <v>07</v>
      </c>
    </row>
    <row r="81" spans="2:22">
      <c r="B81" s="64">
        <v>58</v>
      </c>
      <c r="C81" s="55" t="str">
        <f t="shared" si="17"/>
        <v>-</v>
      </c>
      <c r="D81" s="55" t="str">
        <f t="shared" si="18"/>
        <v>-</v>
      </c>
      <c r="E81" s="65" t="str">
        <f t="shared" si="19"/>
        <v>-</v>
      </c>
      <c r="F81" s="57" t="str">
        <f t="shared" si="20"/>
        <v>-</v>
      </c>
      <c r="G81" s="58" t="str">
        <f t="shared" si="21"/>
        <v>-</v>
      </c>
      <c r="H81" s="66" t="str">
        <f t="shared" si="22"/>
        <v>-</v>
      </c>
      <c r="I81" s="66" t="str">
        <f t="shared" si="23"/>
        <v>-</v>
      </c>
      <c r="J81" s="59" t="str">
        <f t="shared" si="24"/>
        <v>-</v>
      </c>
      <c r="K81" s="66" t="str">
        <f t="shared" si="25"/>
        <v>-</v>
      </c>
      <c r="L81" s="67" t="str">
        <f t="shared" si="26"/>
        <v>-</v>
      </c>
      <c r="M81" s="63" t="str">
        <f>IF($C$16&gt;=B81,(IF(((P81-(J81+(I80*-1)+1))&lt;=0),1,((SUM(I$24:$I81)-(SUM($N$23:$N$25)))))),"-")</f>
        <v>-</v>
      </c>
      <c r="N81" s="62" t="str">
        <f>IF($C$16&gt;=B81,(IF((M81&lt;=0),1,((SUM($I$24:I81)-(SUM($N$23:N80)))))),"-")</f>
        <v>-</v>
      </c>
      <c r="O81" s="59" t="str">
        <f t="shared" si="27"/>
        <v>-</v>
      </c>
      <c r="P81" s="60" t="str">
        <f t="shared" si="28"/>
        <v>-</v>
      </c>
      <c r="Q81" s="102" t="str">
        <f t="shared" si="29"/>
        <v>-</v>
      </c>
      <c r="S81" s="103" t="str">
        <f t="shared" si="30"/>
        <v>-</v>
      </c>
      <c r="T81" s="97" t="str">
        <f t="shared" ca="1" si="31"/>
        <v>2031</v>
      </c>
      <c r="U81" s="97" t="str">
        <f t="shared" ca="1" si="13"/>
        <v>04</v>
      </c>
      <c r="V81" s="97" t="str">
        <f t="shared" ca="1" si="14"/>
        <v>07</v>
      </c>
    </row>
    <row r="82" spans="2:22">
      <c r="B82" s="64">
        <v>59</v>
      </c>
      <c r="C82" s="55" t="str">
        <f t="shared" si="17"/>
        <v>-</v>
      </c>
      <c r="D82" s="55" t="str">
        <f t="shared" si="18"/>
        <v>-</v>
      </c>
      <c r="E82" s="65" t="str">
        <f t="shared" si="19"/>
        <v>-</v>
      </c>
      <c r="F82" s="57" t="str">
        <f t="shared" si="20"/>
        <v>-</v>
      </c>
      <c r="G82" s="58" t="str">
        <f t="shared" si="21"/>
        <v>-</v>
      </c>
      <c r="H82" s="66" t="str">
        <f t="shared" si="22"/>
        <v>-</v>
      </c>
      <c r="I82" s="66" t="str">
        <f t="shared" si="23"/>
        <v>-</v>
      </c>
      <c r="J82" s="59" t="str">
        <f t="shared" si="24"/>
        <v>-</v>
      </c>
      <c r="K82" s="66" t="str">
        <f t="shared" si="25"/>
        <v>-</v>
      </c>
      <c r="L82" s="67" t="str">
        <f t="shared" si="26"/>
        <v>-</v>
      </c>
      <c r="M82" s="63" t="str">
        <f>IF($C$16&gt;=B82,(IF(((P82-(J82+(I81*-1)+1))&lt;=0),1,((SUM(I$24:$I82)-(SUM($N$23:$N$25)))))),"-")</f>
        <v>-</v>
      </c>
      <c r="N82" s="62" t="str">
        <f>IF($C$16&gt;=B82,(IF((M82&lt;=0),1,((SUM($I$24:I82)-(SUM($N$23:N81)))))),"-")</f>
        <v>-</v>
      </c>
      <c r="O82" s="59" t="str">
        <f t="shared" si="27"/>
        <v>-</v>
      </c>
      <c r="P82" s="60" t="str">
        <f t="shared" si="28"/>
        <v>-</v>
      </c>
      <c r="Q82" s="102" t="str">
        <f t="shared" si="29"/>
        <v>-</v>
      </c>
      <c r="S82" s="103" t="str">
        <f t="shared" si="30"/>
        <v>-</v>
      </c>
      <c r="T82" s="97" t="str">
        <f t="shared" ca="1" si="31"/>
        <v>2031</v>
      </c>
      <c r="U82" s="97" t="str">
        <f t="shared" ca="1" si="13"/>
        <v>05</v>
      </c>
      <c r="V82" s="97" t="str">
        <f t="shared" ca="1" si="14"/>
        <v>07</v>
      </c>
    </row>
    <row r="83" spans="2:22">
      <c r="B83" s="64">
        <v>60</v>
      </c>
      <c r="C83" s="55" t="str">
        <f t="shared" si="17"/>
        <v>-</v>
      </c>
      <c r="D83" s="55" t="str">
        <f t="shared" si="18"/>
        <v>-</v>
      </c>
      <c r="E83" s="65" t="str">
        <f t="shared" si="19"/>
        <v>-</v>
      </c>
      <c r="F83" s="57" t="str">
        <f t="shared" si="20"/>
        <v>-</v>
      </c>
      <c r="G83" s="58" t="str">
        <f t="shared" si="21"/>
        <v>-</v>
      </c>
      <c r="H83" s="66" t="str">
        <f t="shared" si="22"/>
        <v>-</v>
      </c>
      <c r="I83" s="66" t="str">
        <f t="shared" si="23"/>
        <v>-</v>
      </c>
      <c r="J83" s="59" t="str">
        <f t="shared" si="24"/>
        <v>-</v>
      </c>
      <c r="K83" s="66" t="str">
        <f t="shared" si="25"/>
        <v>-</v>
      </c>
      <c r="L83" s="67" t="str">
        <f t="shared" si="26"/>
        <v>-</v>
      </c>
      <c r="M83" s="63" t="str">
        <f>IF($C$16&gt;=B83,(IF(((P83-(J83+(I82*-1)+1))&lt;=0),1,((SUM(I$24:$I83)-(SUM($N$23:$N$25)))))),"-")</f>
        <v>-</v>
      </c>
      <c r="N83" s="62" t="str">
        <f>IF($C$16&gt;=B83,(IF((M83&lt;=0),1,((SUM($I$24:I83)-(SUM($N$23:N82)))))),"-")</f>
        <v>-</v>
      </c>
      <c r="O83" s="59" t="str">
        <f>IF($C$16&gt;=B83,(P83-N83),"-")</f>
        <v>-</v>
      </c>
      <c r="P83" s="60" t="str">
        <f t="shared" si="28"/>
        <v>-</v>
      </c>
      <c r="Q83" s="102" t="str">
        <f t="shared" si="29"/>
        <v>-</v>
      </c>
      <c r="S83" s="103" t="str">
        <f t="shared" si="30"/>
        <v>-</v>
      </c>
      <c r="T83" s="97" t="str">
        <f t="shared" ca="1" si="31"/>
        <v>2031</v>
      </c>
      <c r="U83" s="97" t="str">
        <f t="shared" ca="1" si="13"/>
        <v>06</v>
      </c>
      <c r="V83" s="97" t="str">
        <f t="shared" ca="1" si="14"/>
        <v>07</v>
      </c>
    </row>
    <row r="84" spans="2:22">
      <c r="B84" s="64">
        <v>61</v>
      </c>
      <c r="C84" s="55" t="str">
        <f t="shared" si="17"/>
        <v>-</v>
      </c>
      <c r="D84" s="55" t="str">
        <f t="shared" si="18"/>
        <v>-</v>
      </c>
      <c r="E84" s="65" t="str">
        <f t="shared" si="19"/>
        <v>-</v>
      </c>
      <c r="F84" s="57" t="str">
        <f t="shared" si="20"/>
        <v>-</v>
      </c>
      <c r="G84" s="58" t="str">
        <f t="shared" si="21"/>
        <v>-</v>
      </c>
      <c r="H84" s="66" t="str">
        <f t="shared" si="22"/>
        <v>-</v>
      </c>
      <c r="I84" s="66" t="str">
        <f t="shared" si="23"/>
        <v>-</v>
      </c>
      <c r="J84" s="59" t="str">
        <f t="shared" si="24"/>
        <v>-</v>
      </c>
      <c r="K84" s="66" t="str">
        <f t="shared" si="25"/>
        <v>-</v>
      </c>
      <c r="L84" s="67" t="str">
        <f t="shared" si="26"/>
        <v>-</v>
      </c>
      <c r="M84" s="63" t="str">
        <f>IF($C$16&gt;=B84,(IF(((P84-(J84+(I83*-1)+1))&lt;=0),1,((SUM(I$24:$I84)-(SUM($N$23:$N$25)))))),"-")</f>
        <v>-</v>
      </c>
      <c r="N84" s="62" t="str">
        <f>IF($C$16&gt;=B84,(IF((M84&lt;=0),1,((SUM($I$24:I84)-(SUM($N$23:N83)))))),"-")</f>
        <v>-</v>
      </c>
      <c r="O84" s="59" t="str">
        <f t="shared" si="27"/>
        <v>-</v>
      </c>
      <c r="P84" s="60" t="str">
        <f t="shared" si="28"/>
        <v>-</v>
      </c>
      <c r="Q84" s="102" t="str">
        <f t="shared" si="29"/>
        <v>-</v>
      </c>
      <c r="S84" s="103" t="str">
        <f t="shared" si="30"/>
        <v>-</v>
      </c>
      <c r="T84" s="97" t="str">
        <f t="shared" ca="1" si="31"/>
        <v>2031</v>
      </c>
      <c r="U84" s="97" t="str">
        <f t="shared" ca="1" si="13"/>
        <v>07</v>
      </c>
      <c r="V84" s="97" t="str">
        <f t="shared" ca="1" si="14"/>
        <v>07</v>
      </c>
    </row>
    <row r="85" spans="2:22">
      <c r="B85" s="64">
        <v>62</v>
      </c>
      <c r="C85" s="55" t="str">
        <f t="shared" si="17"/>
        <v>-</v>
      </c>
      <c r="D85" s="55" t="str">
        <f t="shared" si="18"/>
        <v>-</v>
      </c>
      <c r="E85" s="65" t="str">
        <f t="shared" si="19"/>
        <v>-</v>
      </c>
      <c r="F85" s="57" t="str">
        <f t="shared" si="20"/>
        <v>-</v>
      </c>
      <c r="G85" s="58" t="str">
        <f t="shared" si="21"/>
        <v>-</v>
      </c>
      <c r="H85" s="66" t="str">
        <f t="shared" si="22"/>
        <v>-</v>
      </c>
      <c r="I85" s="66" t="str">
        <f t="shared" si="23"/>
        <v>-</v>
      </c>
      <c r="J85" s="59" t="str">
        <f t="shared" si="24"/>
        <v>-</v>
      </c>
      <c r="K85" s="66" t="str">
        <f t="shared" si="25"/>
        <v>-</v>
      </c>
      <c r="L85" s="67" t="str">
        <f t="shared" si="26"/>
        <v>-</v>
      </c>
      <c r="M85" s="63" t="str">
        <f>IF($C$16&gt;=B85,(IF(((P85-(J85+(I84*-1)+1))&lt;=0),1,((SUM(I$24:$I85)-(SUM($N$23:$N$25)))))),"-")</f>
        <v>-</v>
      </c>
      <c r="N85" s="62" t="str">
        <f>IF($C$16&gt;=B85,(IF((M85&lt;=0),1,((SUM($I$24:I85)-(SUM($N$23:N84)))))),"-")</f>
        <v>-</v>
      </c>
      <c r="O85" s="59" t="str">
        <f t="shared" si="27"/>
        <v>-</v>
      </c>
      <c r="P85" s="60" t="str">
        <f t="shared" si="28"/>
        <v>-</v>
      </c>
      <c r="Q85" s="102" t="str">
        <f t="shared" si="29"/>
        <v>-</v>
      </c>
      <c r="S85" s="103" t="str">
        <f t="shared" si="30"/>
        <v>-</v>
      </c>
      <c r="T85" s="97" t="str">
        <f t="shared" ca="1" si="31"/>
        <v>2031</v>
      </c>
      <c r="U85" s="97" t="str">
        <f t="shared" ca="1" si="13"/>
        <v>08</v>
      </c>
      <c r="V85" s="97" t="str">
        <f t="shared" ca="1" si="14"/>
        <v>07</v>
      </c>
    </row>
    <row r="86" spans="2:22">
      <c r="B86" s="64">
        <v>63</v>
      </c>
      <c r="C86" s="55" t="str">
        <f t="shared" si="17"/>
        <v>-</v>
      </c>
      <c r="D86" s="55" t="str">
        <f t="shared" si="18"/>
        <v>-</v>
      </c>
      <c r="E86" s="65" t="str">
        <f t="shared" si="19"/>
        <v>-</v>
      </c>
      <c r="F86" s="57" t="str">
        <f t="shared" si="20"/>
        <v>-</v>
      </c>
      <c r="G86" s="58" t="str">
        <f t="shared" si="21"/>
        <v>-</v>
      </c>
      <c r="H86" s="66" t="str">
        <f t="shared" si="22"/>
        <v>-</v>
      </c>
      <c r="I86" s="66" t="str">
        <f t="shared" si="23"/>
        <v>-</v>
      </c>
      <c r="J86" s="59" t="str">
        <f t="shared" si="24"/>
        <v>-</v>
      </c>
      <c r="K86" s="66" t="str">
        <f t="shared" si="25"/>
        <v>-</v>
      </c>
      <c r="L86" s="67" t="str">
        <f t="shared" si="26"/>
        <v>-</v>
      </c>
      <c r="M86" s="63" t="str">
        <f>IF($C$16&gt;=B86,(IF(((P86-(J86+(I85*-1)+1))&lt;=0),1,((SUM(I$24:$I86)-(SUM($N$23:$N$25)))))),"-")</f>
        <v>-</v>
      </c>
      <c r="N86" s="62" t="str">
        <f>IF($C$16&gt;=B86,(IF((M86&lt;=0),1,((SUM($I$24:I86)-(SUM($N$23:N85)))))),"-")</f>
        <v>-</v>
      </c>
      <c r="O86" s="59" t="str">
        <f t="shared" si="27"/>
        <v>-</v>
      </c>
      <c r="P86" s="60" t="str">
        <f t="shared" si="28"/>
        <v>-</v>
      </c>
      <c r="Q86" s="102" t="str">
        <f t="shared" si="29"/>
        <v>-</v>
      </c>
      <c r="S86" s="103" t="str">
        <f t="shared" si="30"/>
        <v>-</v>
      </c>
      <c r="T86" s="97" t="str">
        <f t="shared" ca="1" si="31"/>
        <v>2031</v>
      </c>
      <c r="U86" s="97" t="str">
        <f t="shared" ca="1" si="13"/>
        <v>09</v>
      </c>
      <c r="V86" s="97" t="str">
        <f t="shared" ca="1" si="14"/>
        <v>07</v>
      </c>
    </row>
    <row r="87" spans="2:22" ht="12.6">
      <c r="B87" s="127"/>
      <c r="C87" s="127"/>
      <c r="D87" s="127"/>
      <c r="E87" s="128">
        <f ca="1">SUM(E24:E86)</f>
        <v>1428</v>
      </c>
      <c r="F87" s="127"/>
      <c r="G87" s="129">
        <f ca="1">SUM(G24:G86)</f>
        <v>35.007406829999994</v>
      </c>
      <c r="H87" s="127"/>
      <c r="I87" s="130">
        <f ca="1">SUM(I24:I86)</f>
        <v>10900.209751876801</v>
      </c>
      <c r="J87" s="130">
        <f ca="1">SUM(J24:J86)</f>
        <v>4233.5502481231979</v>
      </c>
      <c r="K87" s="130">
        <f ca="1">SUM(K24:K86)</f>
        <v>15133.760000000017</v>
      </c>
      <c r="L87" s="131"/>
      <c r="M87" s="132"/>
      <c r="N87" s="133">
        <f ca="1">SUM(N24:N86)</f>
        <v>10900.209751876801</v>
      </c>
      <c r="O87" s="133">
        <f ca="1">SUM(O24:O86)</f>
        <v>4233.5502481231961</v>
      </c>
      <c r="P87" s="133">
        <f ca="1">SUM(P24:P86)</f>
        <v>15133.760000000017</v>
      </c>
      <c r="Q87" s="104"/>
    </row>
    <row r="88" spans="2:22">
      <c r="Q88" s="104"/>
    </row>
    <row r="90" spans="2:22">
      <c r="O90" s="68"/>
    </row>
  </sheetData>
  <mergeCells count="8">
    <mergeCell ref="N16:N17"/>
    <mergeCell ref="O16:O17"/>
    <mergeCell ref="B21:P21"/>
    <mergeCell ref="B2:O2"/>
    <mergeCell ref="B4:O4"/>
    <mergeCell ref="B5:O5"/>
    <mergeCell ref="B8:L8"/>
    <mergeCell ref="B9:P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Simulador CUOTA</vt:lpstr>
      <vt:lpstr>Hoja1</vt:lpstr>
      <vt:lpstr>Calculo desgravamen</vt:lpstr>
      <vt:lpstr>Simulador CUOTA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Fabian Imanol Ojeda Valero</cp:lastModifiedBy>
  <dcterms:modified xsi:type="dcterms:W3CDTF">2026-07-31T22:11:28Z</dcterms:modified>
</cp:coreProperties>
</file>